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Calculator" sheetId="1" r:id="rId1"/>
    <sheet name="Dur calc" sheetId="2" r:id="rId2"/>
    <sheet name="How to use this" sheetId="3" r:id="rId3"/>
  </sheets>
  <definedNames/>
  <calcPr fullCalcOnLoad="1"/>
</workbook>
</file>

<file path=xl/sharedStrings.xml><?xml version="1.0" encoding="utf-8"?>
<sst xmlns="http://schemas.openxmlformats.org/spreadsheetml/2006/main" count="270" uniqueCount="213">
  <si>
    <t>Demo</t>
  </si>
  <si>
    <t>Dotb</t>
  </si>
  <si>
    <t>Warriors Warder</t>
  </si>
  <si>
    <t>Base stats</t>
  </si>
  <si>
    <t>Str</t>
  </si>
  <si>
    <t>Dex</t>
  </si>
  <si>
    <t>Cnt</t>
  </si>
  <si>
    <t>Cnc</t>
  </si>
  <si>
    <t>Agi</t>
  </si>
  <si>
    <t>Ntl</t>
  </si>
  <si>
    <t>Items</t>
  </si>
  <si>
    <t>SR</t>
  </si>
  <si>
    <t>BS</t>
  </si>
  <si>
    <t>Strong Arm</t>
  </si>
  <si>
    <t>Archers Eye</t>
  </si>
  <si>
    <t>SoC</t>
  </si>
  <si>
    <t>DH</t>
  </si>
  <si>
    <t>Lestat</t>
  </si>
  <si>
    <t>MR</t>
  </si>
  <si>
    <t>MUR</t>
  </si>
  <si>
    <t>CR</t>
  </si>
  <si>
    <t>CER</t>
  </si>
  <si>
    <t>D*D</t>
  </si>
  <si>
    <t>Cats Feet</t>
  </si>
  <si>
    <t>Merlins Insight</t>
  </si>
  <si>
    <t>Mental Focus</t>
  </si>
  <si>
    <t xml:space="preserve">Impediment </t>
  </si>
  <si>
    <t>Relics</t>
  </si>
  <si>
    <t>PP</t>
  </si>
  <si>
    <t>Quest items</t>
  </si>
  <si>
    <t>Casters Minion</t>
  </si>
  <si>
    <t>AA</t>
  </si>
  <si>
    <t>Accurates</t>
  </si>
  <si>
    <t>Precise</t>
  </si>
  <si>
    <t>Warriors Squire</t>
  </si>
  <si>
    <t>Casters Familiar</t>
  </si>
  <si>
    <t>Boosts</t>
  </si>
  <si>
    <t>Bow/Arrow</t>
  </si>
  <si>
    <t>Warriors Squire Str</t>
  </si>
  <si>
    <t>Warriors Warder Str</t>
  </si>
  <si>
    <t>Warriors Squire Dex</t>
  </si>
  <si>
    <t>Warriors Warder Dex</t>
  </si>
  <si>
    <t>Casters Familiar Ntl</t>
  </si>
  <si>
    <t>Casters Minion Ntl</t>
  </si>
  <si>
    <t>Casters Familiar Cnc</t>
  </si>
  <si>
    <t>Casters Minion Cnc</t>
  </si>
  <si>
    <t>AA Cnc</t>
  </si>
  <si>
    <t>CC</t>
  </si>
  <si>
    <t>RO</t>
  </si>
  <si>
    <t>Crystal/Shadow</t>
  </si>
  <si>
    <t>Demo/Earthen</t>
  </si>
  <si>
    <t>EE-PP</t>
  </si>
  <si>
    <t>Crystal/Shadow Str/Ntl</t>
  </si>
  <si>
    <t>Crystal/Shadow Cnt/Agi</t>
  </si>
  <si>
    <t>Modded Stats</t>
  </si>
  <si>
    <t>Skills</t>
  </si>
  <si>
    <t>CA</t>
  </si>
  <si>
    <t>AA Skill</t>
  </si>
  <si>
    <t>CA skill</t>
  </si>
  <si>
    <t>Archer</t>
  </si>
  <si>
    <t>Monk</t>
  </si>
  <si>
    <t>If Magician/armsman</t>
  </si>
  <si>
    <t>Armsman</t>
  </si>
  <si>
    <t>Magician</t>
  </si>
  <si>
    <t>Mace of Resurrection</t>
  </si>
  <si>
    <t>Rustless Lifeceaser</t>
  </si>
  <si>
    <t>Double Axe of Durability</t>
  </si>
  <si>
    <t>Bloodraker</t>
  </si>
  <si>
    <t>Tension Torqer</t>
  </si>
  <si>
    <t>Sword of Heavenly Ascension</t>
  </si>
  <si>
    <t>Pandemonium's Vociferation</t>
  </si>
  <si>
    <t>Awe Bringer</t>
  </si>
  <si>
    <t>Avengment of the Fallen</t>
  </si>
  <si>
    <t>Angel`s Eye Piercer</t>
  </si>
  <si>
    <t>Claw of Demon Praise</t>
  </si>
  <si>
    <t>Sword of Molten Death</t>
  </si>
  <si>
    <t>Crystal Dragon Fire Axe</t>
  </si>
  <si>
    <t>Blade of Fleeting Stealth</t>
  </si>
  <si>
    <t>Weapon 1 base</t>
  </si>
  <si>
    <t>Weapon 2 base</t>
  </si>
  <si>
    <t>Fires</t>
  </si>
  <si>
    <t>Flames</t>
  </si>
  <si>
    <t>Lightnings</t>
  </si>
  <si>
    <t>Storms</t>
  </si>
  <si>
    <t>dotb attack/cast</t>
  </si>
  <si>
    <t>D*D attack/cast</t>
  </si>
  <si>
    <t>MR attack/cast</t>
  </si>
  <si>
    <t>MUR attack/cast</t>
  </si>
  <si>
    <t>CR attack/cast</t>
  </si>
  <si>
    <t>CER attack/cast</t>
  </si>
  <si>
    <t>Heavy 1</t>
  </si>
  <si>
    <t>heavy 2</t>
  </si>
  <si>
    <t>heavy 1?</t>
  </si>
  <si>
    <t>heavy 2?</t>
  </si>
  <si>
    <t>spell 1 base</t>
  </si>
  <si>
    <t>spell 2 base</t>
  </si>
  <si>
    <t>major 1?</t>
  </si>
  <si>
    <t>major 2?</t>
  </si>
  <si>
    <t>First attack</t>
  </si>
  <si>
    <t>Second attack</t>
  </si>
  <si>
    <t>First cast</t>
  </si>
  <si>
    <t>Second Cast</t>
  </si>
  <si>
    <t>major 1</t>
  </si>
  <si>
    <t>major 2</t>
  </si>
  <si>
    <t>Berserker first attack</t>
  </si>
  <si>
    <t>Berserker second attack</t>
  </si>
  <si>
    <t>Wizard first cast</t>
  </si>
  <si>
    <t>Wizard second cast</t>
  </si>
  <si>
    <t>Shadow</t>
  </si>
  <si>
    <t>Crystal</t>
  </si>
  <si>
    <t>Earthen</t>
  </si>
  <si>
    <t>MD</t>
  </si>
  <si>
    <t>MD skill fa/sa</t>
  </si>
  <si>
    <t>Class</t>
  </si>
  <si>
    <t>Archers Aid</t>
  </si>
  <si>
    <t>Step 1:</t>
  </si>
  <si>
    <t>Enter in your base stats</t>
  </si>
  <si>
    <t>Step 2:</t>
  </si>
  <si>
    <t>Step 3:</t>
  </si>
  <si>
    <t>Step 4:</t>
  </si>
  <si>
    <t>Step 5:</t>
  </si>
  <si>
    <t>Enter your skills</t>
  </si>
  <si>
    <t>Enter how many of each relic you are using. *NOTE* If you have appro/blessings they need to be included here</t>
  </si>
  <si>
    <t xml:space="preserve">Enter your items. </t>
  </si>
  <si>
    <t>If archer enter in a 1 for bow/arrow.</t>
  </si>
  <si>
    <t>If using 2 accurates, you would enter 2; same for precise weapons.</t>
  </si>
  <si>
    <t>Weapon/spell base corresponds to the same item level as girlfriend points. I've added the values for RLC to shadow on the side for quick reference.</t>
  </si>
  <si>
    <t>If you are using a heavy/major weapon/spell enter a 1. If it is anything other than a heavy/major, enter a 0.</t>
  </si>
  <si>
    <t xml:space="preserve">Enter your quest items that you have. Enter 1 if you have them, 0 if you don’t. </t>
  </si>
  <si>
    <t>*NOTE* If you are NOT going to get the effect of the item, do NOT enter it as a 1, use a 0.</t>
  </si>
  <si>
    <t>An example would be an archer with Casters Familiar. You don't gain the bonus of CF as an archer, so you would enter a 0.</t>
  </si>
  <si>
    <t>Finish</t>
  </si>
  <si>
    <t xml:space="preserve">The modded stats display in the box on the upper right. </t>
  </si>
  <si>
    <t>This means with 99 AP/CP you will always do at least this much damage.</t>
  </si>
  <si>
    <t xml:space="preserve">The bottom box shows your approximate minimum damage to uber beasts with 99 AP/CP skill. </t>
  </si>
  <si>
    <t>*Uber beasts are GMT, MT, DE, Shaman, Golem</t>
  </si>
  <si>
    <t>If you are a Magician/armsman then certain modded starts are shown in the next column.</t>
  </si>
  <si>
    <t>Damage to EHA</t>
  </si>
  <si>
    <t>Damage to GMT,shaman,etc</t>
  </si>
  <si>
    <t>A guide for using this is on the other sheet (the "How to use this" at the bottom left.</t>
  </si>
  <si>
    <t xml:space="preserve">Base </t>
  </si>
  <si>
    <t>Dur</t>
  </si>
  <si>
    <t>Regen</t>
  </si>
  <si>
    <t>Armor</t>
  </si>
  <si>
    <t>Dur Regular</t>
  </si>
  <si>
    <t>DEE-DPP</t>
  </si>
  <si>
    <t>Demo-Shadow</t>
  </si>
  <si>
    <t>Weap/Spell</t>
  </si>
  <si>
    <t>Demo-Earthen</t>
  </si>
  <si>
    <t>RBSD</t>
  </si>
  <si>
    <t>Quest Items</t>
  </si>
  <si>
    <t>Vamp Horn</t>
  </si>
  <si>
    <t>Ice</t>
  </si>
  <si>
    <t>Shards</t>
  </si>
  <si>
    <t>Dur Multipliers</t>
  </si>
  <si>
    <t>Demo-shadow arm</t>
  </si>
  <si>
    <t>DEE-DPP arm</t>
  </si>
  <si>
    <t>VAS</t>
  </si>
  <si>
    <t>Vampeyes</t>
  </si>
  <si>
    <t>Damage to PB</t>
  </si>
  <si>
    <t>TC</t>
  </si>
  <si>
    <t>Theurg Orb</t>
  </si>
  <si>
    <t>Theurg max cast</t>
  </si>
  <si>
    <t>Theurg min cast</t>
  </si>
  <si>
    <t>Theurg chance to max cast</t>
  </si>
  <si>
    <t xml:space="preserve">Theurg demo boost </t>
  </si>
  <si>
    <t>Orb boost</t>
  </si>
  <si>
    <t>VS</t>
  </si>
  <si>
    <t>vas</t>
  </si>
  <si>
    <t>vs</t>
  </si>
  <si>
    <t>Theurgist max damage</t>
  </si>
  <si>
    <t>Theurgist min damage</t>
  </si>
  <si>
    <t>Step 6:</t>
  </si>
  <si>
    <t>Enter in the info on the Dur sheet.</t>
  </si>
  <si>
    <t>If you are a monk or theurg enter a "0" for the weapon or spell bases.</t>
  </si>
  <si>
    <t>Demo/eathen</t>
  </si>
  <si>
    <t xml:space="preserve">Shadow/crystal </t>
  </si>
  <si>
    <t xml:space="preserve">DIP </t>
  </si>
  <si>
    <t>Shield</t>
  </si>
  <si>
    <t>Demo/earthen</t>
  </si>
  <si>
    <t>sose theurg</t>
  </si>
  <si>
    <t>Sose+Theurg Diviniator</t>
  </si>
  <si>
    <t>The damage is based off of limited testing, especially with theurgs. Closest results are probably on the uber's. Regardless you should still get a good idea of the damage you'd do, plus shows modded stats past 2 trill.</t>
  </si>
  <si>
    <t>Total relic damage</t>
  </si>
  <si>
    <t>BP</t>
  </si>
  <si>
    <t>Damage to Regs</t>
  </si>
  <si>
    <t>MT/GMT</t>
  </si>
  <si>
    <t>Bloodletter</t>
  </si>
  <si>
    <t xml:space="preserve"> + SoSe</t>
  </si>
  <si>
    <t>RBSD/goshimhappy/DaoD</t>
  </si>
  <si>
    <t>Relic on:</t>
  </si>
  <si>
    <t>Left hand</t>
  </si>
  <si>
    <t>Helm</t>
  </si>
  <si>
    <t>Right hand</t>
  </si>
  <si>
    <t>Sleeves</t>
  </si>
  <si>
    <t>Mantles</t>
  </si>
  <si>
    <t>Gaunts</t>
  </si>
  <si>
    <t>Left Spell</t>
  </si>
  <si>
    <t>Leggings</t>
  </si>
  <si>
    <t>Boots</t>
  </si>
  <si>
    <t>Right spell</t>
  </si>
  <si>
    <t>1st relic</t>
  </si>
  <si>
    <t>2nd relic</t>
  </si>
  <si>
    <t>3rd relic</t>
  </si>
  <si>
    <t>4th relic</t>
  </si>
  <si>
    <t>5th relic</t>
  </si>
  <si>
    <t>6th relic</t>
  </si>
  <si>
    <t>VaS</t>
  </si>
  <si>
    <t>DPD</t>
  </si>
  <si>
    <t>Modded no relic</t>
  </si>
  <si>
    <t>Modded total</t>
  </si>
  <si>
    <t>Relic damage</t>
  </si>
  <si>
    <t>DPD/drd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</si>
</sst>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000000"/>
  </numFmts>
  <fonts count="12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0"/>
      <color indexed="10"/>
      <name val="Arial"/>
      <family val="0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0"/>
      <color indexed="14"/>
      <name val="Arial"/>
      <family val="0"/>
    </font>
    <font>
      <sz val="10"/>
      <color indexed="12"/>
      <name val="Arial"/>
      <family val="0"/>
    </font>
    <font>
      <b/>
      <sz val="6.7"/>
      <color indexed="19"/>
      <name val="Courier New"/>
      <family val="3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8" xfId="0" applyFill="1" applyBorder="1" applyAlignment="1">
      <alignment/>
    </xf>
    <xf numFmtId="0" fontId="0" fillId="2" borderId="9" xfId="0" applyFill="1" applyBorder="1" applyAlignment="1">
      <alignment/>
    </xf>
    <xf numFmtId="0" fontId="5" fillId="5" borderId="0" xfId="0" applyFont="1" applyFill="1" applyAlignment="1">
      <alignment/>
    </xf>
    <xf numFmtId="3" fontId="0" fillId="6" borderId="3" xfId="0" applyNumberFormat="1" applyFill="1" applyBorder="1" applyAlignment="1">
      <alignment/>
    </xf>
    <xf numFmtId="3" fontId="0" fillId="7" borderId="3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5" borderId="3" xfId="0" applyNumberFormat="1" applyFill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4" xfId="0" applyFill="1" applyBorder="1" applyAlignment="1">
      <alignment/>
    </xf>
    <xf numFmtId="3" fontId="0" fillId="6" borderId="5" xfId="0" applyNumberForma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7" borderId="5" xfId="0" applyNumberFormat="1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3" fontId="0" fillId="5" borderId="1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8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9" borderId="14" xfId="0" applyFill="1" applyBorder="1" applyAlignment="1">
      <alignment/>
    </xf>
    <xf numFmtId="0" fontId="0" fillId="4" borderId="15" xfId="0" applyFill="1" applyBorder="1" applyAlignment="1">
      <alignment/>
    </xf>
    <xf numFmtId="3" fontId="0" fillId="6" borderId="16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7" borderId="16" xfId="0" applyNumberFormat="1" applyFill="1" applyBorder="1" applyAlignment="1">
      <alignment/>
    </xf>
    <xf numFmtId="3" fontId="0" fillId="5" borderId="16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0" fillId="4" borderId="5" xfId="0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2" borderId="1" xfId="0" applyFont="1" applyFill="1" applyBorder="1" applyAlignment="1">
      <alignment/>
    </xf>
    <xf numFmtId="3" fontId="0" fillId="10" borderId="3" xfId="0" applyNumberFormat="1" applyFont="1" applyFill="1" applyBorder="1" applyAlignment="1">
      <alignment/>
    </xf>
    <xf numFmtId="0" fontId="0" fillId="10" borderId="5" xfId="0" applyFont="1" applyFill="1" applyBorder="1" applyAlignment="1">
      <alignment/>
    </xf>
    <xf numFmtId="3" fontId="0" fillId="10" borderId="1" xfId="0" applyNumberFormat="1" applyFill="1" applyBorder="1" applyAlignment="1">
      <alignment/>
    </xf>
    <xf numFmtId="0" fontId="0" fillId="5" borderId="6" xfId="0" applyFont="1" applyFill="1" applyBorder="1" applyAlignment="1">
      <alignment/>
    </xf>
    <xf numFmtId="3" fontId="0" fillId="5" borderId="17" xfId="0" applyNumberFormat="1" applyFont="1" applyFill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5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7" xfId="0" applyFill="1" applyBorder="1" applyAlignment="1">
      <alignment/>
    </xf>
    <xf numFmtId="0" fontId="0" fillId="11" borderId="7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8" borderId="20" xfId="0" applyFill="1" applyBorder="1" applyAlignment="1">
      <alignment/>
    </xf>
    <xf numFmtId="3" fontId="0" fillId="0" borderId="20" xfId="0" applyNumberFormat="1" applyFill="1" applyBorder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5" borderId="2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28" xfId="0" applyBorder="1" applyAlignment="1">
      <alignment horizontal="center"/>
    </xf>
    <xf numFmtId="3" fontId="0" fillId="0" borderId="29" xfId="0" applyNumberFormat="1" applyFill="1" applyBorder="1" applyAlignment="1">
      <alignment/>
    </xf>
    <xf numFmtId="0" fontId="0" fillId="0" borderId="24" xfId="0" applyBorder="1" applyAlignment="1">
      <alignment horizontal="center"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2" borderId="20" xfId="0" applyNumberFormat="1" applyFill="1" applyBorder="1" applyAlignment="1">
      <alignment/>
    </xf>
    <xf numFmtId="0" fontId="8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left" wrapText="1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selection activeCell="B9" sqref="B9"/>
    </sheetView>
  </sheetViews>
  <sheetFormatPr defaultColWidth="9.140625" defaultRowHeight="12.75"/>
  <cols>
    <col min="1" max="1" width="20.421875" style="0" customWidth="1"/>
    <col min="2" max="2" width="16.421875" style="0" bestFit="1" customWidth="1"/>
    <col min="3" max="3" width="9.57421875" style="0" customWidth="1"/>
    <col min="4" max="4" width="20.140625" style="0" bestFit="1" customWidth="1"/>
    <col min="5" max="5" width="21.28125" style="0" customWidth="1"/>
    <col min="6" max="6" width="25.8515625" style="0" customWidth="1"/>
    <col min="7" max="7" width="21.00390625" style="0" customWidth="1"/>
    <col min="8" max="8" width="14.57421875" style="0" bestFit="1" customWidth="1"/>
    <col min="9" max="9" width="21.421875" style="0" customWidth="1"/>
  </cols>
  <sheetData>
    <row r="1" spans="1:7" ht="13.5" thickBot="1">
      <c r="A1" s="87" t="s">
        <v>3</v>
      </c>
      <c r="B1" s="8"/>
      <c r="E1" s="6" t="s">
        <v>54</v>
      </c>
      <c r="G1" s="26" t="s">
        <v>61</v>
      </c>
    </row>
    <row r="2" spans="1:7" ht="12.75">
      <c r="A2" s="13" t="s">
        <v>4</v>
      </c>
      <c r="B2" s="3">
        <v>0</v>
      </c>
      <c r="E2" s="12" t="s">
        <v>4</v>
      </c>
      <c r="F2" s="78">
        <f>B2*B66*B67*B69*B77*B78*B79*B82*B83*B84*B87*B88*B99</f>
        <v>0</v>
      </c>
      <c r="G2" s="30">
        <f>F2*2</f>
        <v>0</v>
      </c>
    </row>
    <row r="3" spans="1:7" ht="12.75">
      <c r="A3" s="13" t="s">
        <v>5</v>
      </c>
      <c r="B3" s="3">
        <v>0</v>
      </c>
      <c r="E3" s="13" t="s">
        <v>5</v>
      </c>
      <c r="F3" s="19">
        <f>B3*B67*B70*B76*B77*B78*B79*B82*B86*B89*B90*B96*B101</f>
        <v>0</v>
      </c>
      <c r="G3" s="31">
        <f>F3*4</f>
        <v>0</v>
      </c>
    </row>
    <row r="4" spans="1:7" ht="12.75">
      <c r="A4" s="13" t="s">
        <v>6</v>
      </c>
      <c r="B4" s="3">
        <v>0</v>
      </c>
      <c r="E4" s="13" t="s">
        <v>6</v>
      </c>
      <c r="F4" s="19">
        <f>B4*B74*B82*B98*B100*B77*B97*B67</f>
        <v>0</v>
      </c>
      <c r="G4" s="31"/>
    </row>
    <row r="5" spans="1:7" ht="12.75">
      <c r="A5" s="13" t="s">
        <v>7</v>
      </c>
      <c r="B5" s="3">
        <v>0</v>
      </c>
      <c r="E5" s="13" t="s">
        <v>7</v>
      </c>
      <c r="F5" s="19">
        <f>B5*B75*B80*B81*B82*B85*B93*B94*B95*B96*B102*B77*B73*B67</f>
        <v>0</v>
      </c>
      <c r="G5" s="31">
        <f>F5*4</f>
        <v>0</v>
      </c>
    </row>
    <row r="6" spans="1:7" ht="12.75">
      <c r="A6" s="13" t="s">
        <v>8</v>
      </c>
      <c r="B6" s="3">
        <v>0</v>
      </c>
      <c r="E6" s="13" t="s">
        <v>8</v>
      </c>
      <c r="F6" s="19">
        <f>B6*B71*B77*B82*B98*B100*B101*B67</f>
        <v>0</v>
      </c>
      <c r="G6" s="31"/>
    </row>
    <row r="7" spans="1:7" ht="13.5" thickBot="1">
      <c r="A7" s="14" t="s">
        <v>9</v>
      </c>
      <c r="B7" s="4">
        <v>0</v>
      </c>
      <c r="E7" s="13" t="s">
        <v>9</v>
      </c>
      <c r="F7" s="19">
        <f>B7*B72*B80*B81*B82*B83*B84*B91*B92*B99*B67*B68</f>
        <v>0</v>
      </c>
      <c r="G7" s="31">
        <f>F7*2</f>
        <v>0</v>
      </c>
    </row>
    <row r="8" spans="1:7" ht="13.5" thickBot="1">
      <c r="A8" s="5"/>
      <c r="B8" s="20"/>
      <c r="E8" s="13" t="s">
        <v>141</v>
      </c>
      <c r="F8" s="19">
        <f>'Dur calc'!E1</f>
        <v>0</v>
      </c>
      <c r="G8" s="32"/>
    </row>
    <row r="9" spans="1:7" ht="12.75">
      <c r="A9" s="87" t="s">
        <v>55</v>
      </c>
      <c r="B9" s="21"/>
      <c r="E9" s="9" t="s">
        <v>98</v>
      </c>
      <c r="F9" s="79">
        <f>IF((B43+B44=0),(B103*B104*B107*B108*B109*B110*B111*B112*B117),(10*(1.306^(B43-1)))*B103*B104*B107*B108*B109*B110*B111*B112*B113)</f>
        <v>10</v>
      </c>
      <c r="G9" s="32"/>
    </row>
    <row r="10" spans="1:7" ht="12.75">
      <c r="A10" s="13" t="s">
        <v>31</v>
      </c>
      <c r="B10" s="3">
        <v>125</v>
      </c>
      <c r="E10" s="9" t="s">
        <v>99</v>
      </c>
      <c r="F10" s="79">
        <f>IF((B43+B44=0),(B103*B104*B107*B108*B109*B110*B111*B112*B113*B117),(10*(1.306^(B44-1)))*B103*B104*B107*B108*B109*B110*B111*B112*B114)</f>
        <v>10</v>
      </c>
      <c r="G10" s="32"/>
    </row>
    <row r="11" spans="1:7" ht="12.75">
      <c r="A11" s="18" t="s">
        <v>56</v>
      </c>
      <c r="B11" s="29">
        <v>0</v>
      </c>
      <c r="E11" s="9" t="s">
        <v>100</v>
      </c>
      <c r="F11" s="19">
        <f>IF((B47+B48=0),B118*B121*B112*B111*B110*B109*B108*B107*B106*B105,(10*(1.306^(B47-1)))*B107*B108*B109*B110*B105*B106*B111*B112*B115)</f>
        <v>3008669732194.171</v>
      </c>
      <c r="G11" s="32"/>
    </row>
    <row r="12" spans="1:7" ht="13.5" thickBot="1">
      <c r="A12" s="18" t="s">
        <v>111</v>
      </c>
      <c r="B12" s="29">
        <v>0</v>
      </c>
      <c r="E12" s="11" t="s">
        <v>101</v>
      </c>
      <c r="F12" s="80">
        <f>IF((B47+B48=0),B118*B121*B112*B111*B110*B109*B108*B107*B106*B105,(10*(1.306^(B48-1)))*B107*B108*B109*B110*B111*B112*B116*B105*B106)</f>
        <v>3008669732194.171</v>
      </c>
      <c r="G12" s="33"/>
    </row>
    <row r="13" spans="5:9" ht="13.5" thickBot="1">
      <c r="E13" s="1"/>
      <c r="I13" s="53"/>
    </row>
    <row r="14" spans="1:9" ht="13.5" thickBot="1">
      <c r="A14" s="87" t="s">
        <v>27</v>
      </c>
      <c r="B14" s="8"/>
      <c r="I14" s="5"/>
    </row>
    <row r="15" spans="1:9" ht="12.75">
      <c r="A15" s="9" t="s">
        <v>11</v>
      </c>
      <c r="B15" s="15">
        <v>0</v>
      </c>
      <c r="E15" s="39" t="s">
        <v>113</v>
      </c>
      <c r="F15" s="40" t="s">
        <v>138</v>
      </c>
      <c r="G15" s="59" t="s">
        <v>137</v>
      </c>
      <c r="H15" s="41" t="s">
        <v>159</v>
      </c>
      <c r="I15" s="5"/>
    </row>
    <row r="16" spans="1:9" ht="12.75">
      <c r="A16" s="9" t="s">
        <v>1</v>
      </c>
      <c r="B16" s="15">
        <v>0</v>
      </c>
      <c r="E16" s="42" t="s">
        <v>104</v>
      </c>
      <c r="F16" s="27">
        <f>F2*F9/17833142777526800000</f>
        <v>0</v>
      </c>
      <c r="G16" s="60">
        <f>F16*5000</f>
        <v>0</v>
      </c>
      <c r="H16" s="43">
        <f>G16*2</f>
        <v>0</v>
      </c>
      <c r="I16" s="20"/>
    </row>
    <row r="17" spans="1:9" ht="12.75">
      <c r="A17" s="9" t="s">
        <v>12</v>
      </c>
      <c r="B17" s="15">
        <v>0</v>
      </c>
      <c r="E17" s="42" t="s">
        <v>105</v>
      </c>
      <c r="F17" s="27">
        <f>F2*F10/17833142777526800000</f>
        <v>0</v>
      </c>
      <c r="G17" s="60">
        <f aca="true" t="shared" si="0" ref="G17:G23">F17*5000</f>
        <v>0</v>
      </c>
      <c r="H17" s="43">
        <f aca="true" t="shared" si="1" ref="H17:H23">G17*2</f>
        <v>0</v>
      </c>
      <c r="I17" s="20"/>
    </row>
    <row r="18" spans="1:9" ht="12.75">
      <c r="A18" s="9" t="s">
        <v>13</v>
      </c>
      <c r="B18" s="15">
        <v>0</v>
      </c>
      <c r="E18" s="44" t="s">
        <v>62</v>
      </c>
      <c r="F18" s="22">
        <f>G2*F9/17833142777526800000</f>
        <v>0</v>
      </c>
      <c r="G18" s="61">
        <f t="shared" si="0"/>
        <v>0</v>
      </c>
      <c r="H18" s="45">
        <f t="shared" si="1"/>
        <v>0</v>
      </c>
      <c r="I18" s="20"/>
    </row>
    <row r="19" spans="1:9" ht="12.75">
      <c r="A19" s="9" t="s">
        <v>14</v>
      </c>
      <c r="B19" s="15">
        <v>0</v>
      </c>
      <c r="E19" s="46" t="s">
        <v>106</v>
      </c>
      <c r="F19" s="28">
        <f>F7*F11/17833142777526800000</f>
        <v>0</v>
      </c>
      <c r="G19" s="62">
        <f t="shared" si="0"/>
        <v>0</v>
      </c>
      <c r="H19" s="47">
        <f t="shared" si="1"/>
        <v>0</v>
      </c>
      <c r="I19" s="20"/>
    </row>
    <row r="20" spans="1:9" ht="12.75">
      <c r="A20" s="9" t="s">
        <v>23</v>
      </c>
      <c r="B20" s="15">
        <v>0</v>
      </c>
      <c r="E20" s="46" t="s">
        <v>107</v>
      </c>
      <c r="F20" s="28">
        <f>F7*F12/17833142777526800000</f>
        <v>0</v>
      </c>
      <c r="G20" s="62">
        <f t="shared" si="0"/>
        <v>0</v>
      </c>
      <c r="H20" s="47">
        <f t="shared" si="1"/>
        <v>0</v>
      </c>
      <c r="I20" s="20"/>
    </row>
    <row r="21" spans="1:9" ht="12.75">
      <c r="A21" s="9" t="s">
        <v>24</v>
      </c>
      <c r="B21" s="15">
        <v>0</v>
      </c>
      <c r="E21" s="48" t="s">
        <v>63</v>
      </c>
      <c r="F21" s="22">
        <f>G7*F11/17833142777526800000</f>
        <v>0</v>
      </c>
      <c r="G21" s="61">
        <f t="shared" si="0"/>
        <v>0</v>
      </c>
      <c r="H21" s="45">
        <f t="shared" si="1"/>
        <v>0</v>
      </c>
      <c r="I21" s="20"/>
    </row>
    <row r="22" spans="1:9" ht="12.75">
      <c r="A22" s="9" t="s">
        <v>25</v>
      </c>
      <c r="B22" s="15">
        <v>0</v>
      </c>
      <c r="E22" s="49" t="s">
        <v>59</v>
      </c>
      <c r="F22" s="34">
        <f>F5*F9/17833142777526800000</f>
        <v>0</v>
      </c>
      <c r="G22" s="63">
        <f t="shared" si="0"/>
        <v>0</v>
      </c>
      <c r="H22" s="50">
        <f t="shared" si="1"/>
        <v>0</v>
      </c>
      <c r="I22" s="20"/>
    </row>
    <row r="23" spans="1:9" ht="12.75">
      <c r="A23" s="9" t="s">
        <v>26</v>
      </c>
      <c r="B23" s="15">
        <v>0</v>
      </c>
      <c r="E23" s="67" t="s">
        <v>60</v>
      </c>
      <c r="F23" s="68">
        <f>F4*F9/17833142777526800000</f>
        <v>0</v>
      </c>
      <c r="G23" s="68">
        <f t="shared" si="0"/>
        <v>0</v>
      </c>
      <c r="H23" s="45">
        <f t="shared" si="1"/>
        <v>0</v>
      </c>
      <c r="I23" s="20"/>
    </row>
    <row r="24" spans="1:9" ht="12.75">
      <c r="A24" s="9" t="s">
        <v>15</v>
      </c>
      <c r="B24" s="15">
        <v>0</v>
      </c>
      <c r="E24" s="74" t="s">
        <v>170</v>
      </c>
      <c r="F24" s="73">
        <f>((F8*F11)/2.75885982239545E+28)*999999999*B122*B123</f>
        <v>0</v>
      </c>
      <c r="G24" s="73">
        <f>F24*5000</f>
        <v>0</v>
      </c>
      <c r="H24" s="75">
        <f>G24*2</f>
        <v>0</v>
      </c>
      <c r="I24" s="20"/>
    </row>
    <row r="25" spans="1:9" ht="14.25" customHeight="1" thickBot="1">
      <c r="A25" s="64" t="s">
        <v>16</v>
      </c>
      <c r="B25" s="15">
        <v>0</v>
      </c>
      <c r="E25" s="76" t="s">
        <v>171</v>
      </c>
      <c r="F25" s="77">
        <f>F24/(B118/B119)</f>
        <v>0</v>
      </c>
      <c r="G25" s="77">
        <f>F25*5000</f>
        <v>0</v>
      </c>
      <c r="H25" s="97">
        <f>G25*2</f>
        <v>0</v>
      </c>
      <c r="I25" s="95"/>
    </row>
    <row r="26" spans="1:9" s="66" customFormat="1" ht="12.75">
      <c r="A26" s="71" t="s">
        <v>17</v>
      </c>
      <c r="B26" s="72">
        <v>0</v>
      </c>
      <c r="E26" s="69"/>
      <c r="F26" s="69"/>
      <c r="G26" s="69"/>
      <c r="H26" s="70"/>
      <c r="I26" s="96"/>
    </row>
    <row r="27" spans="1:9" s="83" customFormat="1" ht="12.75" customHeight="1">
      <c r="A27" s="81" t="s">
        <v>160</v>
      </c>
      <c r="B27" s="82">
        <v>0</v>
      </c>
      <c r="E27" s="84"/>
      <c r="F27" s="84"/>
      <c r="G27" s="84"/>
      <c r="H27" s="85"/>
      <c r="I27" s="94"/>
    </row>
    <row r="28" spans="1:9" ht="12.75" customHeight="1">
      <c r="A28" s="64" t="s">
        <v>18</v>
      </c>
      <c r="B28" s="15">
        <v>0</v>
      </c>
      <c r="E28" s="123" t="s">
        <v>139</v>
      </c>
      <c r="F28" s="123"/>
      <c r="G28" s="123"/>
      <c r="H28" s="51"/>
      <c r="I28" s="53"/>
    </row>
    <row r="29" spans="1:8" ht="12.75" customHeight="1">
      <c r="A29" s="9" t="s">
        <v>19</v>
      </c>
      <c r="B29" s="15">
        <v>0</v>
      </c>
      <c r="E29" s="123"/>
      <c r="F29" s="123"/>
      <c r="G29" s="123"/>
      <c r="H29" s="51"/>
    </row>
    <row r="30" spans="1:7" ht="12.75">
      <c r="A30" s="9" t="s">
        <v>20</v>
      </c>
      <c r="B30" s="15">
        <v>0</v>
      </c>
      <c r="E30" s="123"/>
      <c r="F30" s="123"/>
      <c r="G30" s="123"/>
    </row>
    <row r="31" spans="1:2" ht="12.75">
      <c r="A31" s="9" t="s">
        <v>21</v>
      </c>
      <c r="B31" s="15">
        <v>0</v>
      </c>
    </row>
    <row r="32" spans="1:2" ht="13.5" thickBot="1">
      <c r="A32" s="11" t="s">
        <v>22</v>
      </c>
      <c r="B32" s="16">
        <v>0</v>
      </c>
    </row>
    <row r="33" ht="13.5" thickBot="1"/>
    <row r="34" spans="1:2" ht="12.75">
      <c r="A34" s="87" t="s">
        <v>10</v>
      </c>
      <c r="B34" s="17"/>
    </row>
    <row r="35" spans="1:2" ht="12.75">
      <c r="A35" s="13" t="s">
        <v>50</v>
      </c>
      <c r="B35" s="15">
        <v>0</v>
      </c>
    </row>
    <row r="36" spans="1:5" ht="12.75">
      <c r="A36" s="13" t="s">
        <v>51</v>
      </c>
      <c r="B36" s="15">
        <v>0</v>
      </c>
      <c r="D36">
        <v>70</v>
      </c>
      <c r="E36" s="23" t="s">
        <v>65</v>
      </c>
    </row>
    <row r="37" spans="1:5" ht="12.75">
      <c r="A37" s="9" t="s">
        <v>32</v>
      </c>
      <c r="B37" s="15">
        <v>0</v>
      </c>
      <c r="D37">
        <f>D36+1</f>
        <v>71</v>
      </c>
      <c r="E37" s="23" t="s">
        <v>64</v>
      </c>
    </row>
    <row r="38" spans="1:5" ht="12.75">
      <c r="A38" s="9" t="s">
        <v>33</v>
      </c>
      <c r="B38" s="15">
        <v>0</v>
      </c>
      <c r="D38">
        <f aca="true" t="shared" si="2" ref="D38:D49">D37+1</f>
        <v>72</v>
      </c>
      <c r="E38" s="23" t="s">
        <v>66</v>
      </c>
    </row>
    <row r="39" spans="1:5" ht="12.75">
      <c r="A39" s="13" t="s">
        <v>37</v>
      </c>
      <c r="B39" s="15">
        <v>0</v>
      </c>
      <c r="D39">
        <f t="shared" si="2"/>
        <v>73</v>
      </c>
      <c r="E39" s="23" t="s">
        <v>67</v>
      </c>
    </row>
    <row r="40" spans="1:5" ht="12.75">
      <c r="A40" s="13" t="s">
        <v>47</v>
      </c>
      <c r="B40" s="15">
        <v>0</v>
      </c>
      <c r="D40">
        <f t="shared" si="2"/>
        <v>74</v>
      </c>
      <c r="E40" s="23" t="s">
        <v>68</v>
      </c>
    </row>
    <row r="41" spans="1:5" ht="12.75">
      <c r="A41" s="13" t="s">
        <v>48</v>
      </c>
      <c r="B41" s="15">
        <v>0</v>
      </c>
      <c r="D41">
        <f t="shared" si="2"/>
        <v>75</v>
      </c>
      <c r="E41" s="23" t="s">
        <v>69</v>
      </c>
    </row>
    <row r="42" spans="1:5" ht="12.75">
      <c r="A42" s="24" t="s">
        <v>49</v>
      </c>
      <c r="B42" s="25">
        <v>0</v>
      </c>
      <c r="D42">
        <f t="shared" si="2"/>
        <v>76</v>
      </c>
      <c r="E42" s="23" t="s">
        <v>70</v>
      </c>
    </row>
    <row r="43" spans="1:5" ht="12.75">
      <c r="A43" s="13" t="s">
        <v>78</v>
      </c>
      <c r="B43" s="15">
        <v>0</v>
      </c>
      <c r="D43">
        <f t="shared" si="2"/>
        <v>77</v>
      </c>
      <c r="E43" s="23" t="s">
        <v>71</v>
      </c>
    </row>
    <row r="44" spans="1:5" ht="12.75">
      <c r="A44" s="13" t="s">
        <v>79</v>
      </c>
      <c r="B44" s="15">
        <v>0</v>
      </c>
      <c r="D44">
        <f t="shared" si="2"/>
        <v>78</v>
      </c>
      <c r="E44" s="23" t="s">
        <v>72</v>
      </c>
    </row>
    <row r="45" spans="1:5" ht="12.75">
      <c r="A45" s="13" t="s">
        <v>92</v>
      </c>
      <c r="B45" s="15">
        <v>0</v>
      </c>
      <c r="D45">
        <f t="shared" si="2"/>
        <v>79</v>
      </c>
      <c r="E45" s="23" t="s">
        <v>73</v>
      </c>
    </row>
    <row r="46" spans="1:6" ht="12.75">
      <c r="A46" s="13" t="s">
        <v>93</v>
      </c>
      <c r="B46" s="15">
        <v>0</v>
      </c>
      <c r="D46">
        <f t="shared" si="2"/>
        <v>80</v>
      </c>
      <c r="E46" s="23" t="s">
        <v>74</v>
      </c>
      <c r="F46" t="s">
        <v>0</v>
      </c>
    </row>
    <row r="47" spans="1:6" ht="12.75">
      <c r="A47" s="13" t="s">
        <v>94</v>
      </c>
      <c r="B47" s="15">
        <v>0</v>
      </c>
      <c r="D47">
        <f t="shared" si="2"/>
        <v>81</v>
      </c>
      <c r="E47" s="23" t="s">
        <v>75</v>
      </c>
      <c r="F47" t="s">
        <v>110</v>
      </c>
    </row>
    <row r="48" spans="1:6" ht="12.75">
      <c r="A48" s="13" t="s">
        <v>95</v>
      </c>
      <c r="B48" s="15">
        <v>0</v>
      </c>
      <c r="D48">
        <f t="shared" si="2"/>
        <v>82</v>
      </c>
      <c r="E48" s="23" t="s">
        <v>76</v>
      </c>
      <c r="F48" t="s">
        <v>109</v>
      </c>
    </row>
    <row r="49" spans="1:6" ht="12.75">
      <c r="A49" s="13" t="s">
        <v>96</v>
      </c>
      <c r="B49" s="15">
        <v>0</v>
      </c>
      <c r="D49">
        <f t="shared" si="2"/>
        <v>83</v>
      </c>
      <c r="E49" s="23" t="s">
        <v>77</v>
      </c>
      <c r="F49" t="s">
        <v>108</v>
      </c>
    </row>
    <row r="50" spans="1:2" ht="13.5" thickBot="1">
      <c r="A50" s="14" t="s">
        <v>97</v>
      </c>
      <c r="B50" s="16">
        <v>0</v>
      </c>
    </row>
    <row r="51" ht="13.5" thickBot="1"/>
    <row r="52" spans="1:2" ht="12.75">
      <c r="A52" s="88" t="s">
        <v>29</v>
      </c>
      <c r="B52" s="8"/>
    </row>
    <row r="53" spans="1:2" ht="12.75">
      <c r="A53" s="90" t="s">
        <v>181</v>
      </c>
      <c r="B53" s="15">
        <v>0</v>
      </c>
    </row>
    <row r="54" spans="1:2" ht="12.75">
      <c r="A54" s="9" t="s">
        <v>34</v>
      </c>
      <c r="B54" s="15">
        <v>0</v>
      </c>
    </row>
    <row r="55" spans="1:2" ht="12.75">
      <c r="A55" s="9" t="s">
        <v>2</v>
      </c>
      <c r="B55" s="15">
        <v>0</v>
      </c>
    </row>
    <row r="56" spans="1:2" ht="12.75">
      <c r="A56" s="9" t="s">
        <v>35</v>
      </c>
      <c r="B56" s="15">
        <v>0</v>
      </c>
    </row>
    <row r="57" spans="1:2" ht="12.75">
      <c r="A57" s="9" t="s">
        <v>30</v>
      </c>
      <c r="B57" s="15">
        <v>0</v>
      </c>
    </row>
    <row r="58" spans="1:2" ht="12.75">
      <c r="A58" s="9" t="s">
        <v>161</v>
      </c>
      <c r="B58" s="15">
        <v>0</v>
      </c>
    </row>
    <row r="59" spans="1:2" ht="12.75">
      <c r="A59" s="9" t="s">
        <v>114</v>
      </c>
      <c r="B59" s="15">
        <v>0</v>
      </c>
    </row>
    <row r="60" spans="1:2" ht="12.75">
      <c r="A60" s="13" t="s">
        <v>80</v>
      </c>
      <c r="B60" s="15">
        <v>0</v>
      </c>
    </row>
    <row r="61" spans="1:2" ht="12.75">
      <c r="A61" s="13" t="s">
        <v>81</v>
      </c>
      <c r="B61" s="15">
        <v>0</v>
      </c>
    </row>
    <row r="62" spans="1:2" ht="12.75">
      <c r="A62" s="13" t="s">
        <v>82</v>
      </c>
      <c r="B62" s="15">
        <v>0</v>
      </c>
    </row>
    <row r="63" spans="1:2" ht="13.5" thickBot="1">
      <c r="A63" s="14" t="s">
        <v>83</v>
      </c>
      <c r="B63" s="16">
        <v>0</v>
      </c>
    </row>
    <row r="64" ht="13.5" thickBot="1"/>
    <row r="65" spans="1:2" ht="12.75">
      <c r="A65" s="87" t="s">
        <v>36</v>
      </c>
      <c r="B65" s="8"/>
    </row>
    <row r="66" spans="1:2" ht="12.75">
      <c r="A66" s="9" t="s">
        <v>11</v>
      </c>
      <c r="B66" s="10">
        <f>2^B15</f>
        <v>1</v>
      </c>
    </row>
    <row r="67" spans="1:2" ht="12.75">
      <c r="A67" s="9" t="s">
        <v>1</v>
      </c>
      <c r="B67" s="10">
        <f>1.2^B16</f>
        <v>1</v>
      </c>
    </row>
    <row r="68" spans="1:2" ht="12.75">
      <c r="A68" s="9" t="s">
        <v>12</v>
      </c>
      <c r="B68" s="10">
        <f>2^B17</f>
        <v>1</v>
      </c>
    </row>
    <row r="69" spans="1:2" ht="12.75">
      <c r="A69" s="9" t="s">
        <v>13</v>
      </c>
      <c r="B69" s="10">
        <f aca="true" t="shared" si="3" ref="B69:B74">1.4^B18</f>
        <v>1</v>
      </c>
    </row>
    <row r="70" spans="1:2" ht="12.75">
      <c r="A70" s="9" t="s">
        <v>14</v>
      </c>
      <c r="B70" s="10">
        <f t="shared" si="3"/>
        <v>1</v>
      </c>
    </row>
    <row r="71" spans="1:2" ht="12.75">
      <c r="A71" s="9" t="s">
        <v>23</v>
      </c>
      <c r="B71" s="10">
        <f t="shared" si="3"/>
        <v>1</v>
      </c>
    </row>
    <row r="72" spans="1:2" ht="12.75">
      <c r="A72" s="9" t="s">
        <v>24</v>
      </c>
      <c r="B72" s="10">
        <f t="shared" si="3"/>
        <v>1</v>
      </c>
    </row>
    <row r="73" spans="1:2" ht="12.75">
      <c r="A73" s="9" t="s">
        <v>25</v>
      </c>
      <c r="B73" s="10">
        <f t="shared" si="3"/>
        <v>1</v>
      </c>
    </row>
    <row r="74" spans="1:2" ht="12.75">
      <c r="A74" s="9" t="s">
        <v>26</v>
      </c>
      <c r="B74" s="10">
        <f t="shared" si="3"/>
        <v>1</v>
      </c>
    </row>
    <row r="75" spans="1:2" ht="12.75">
      <c r="A75" s="9" t="s">
        <v>15</v>
      </c>
      <c r="B75" s="10">
        <f>1.6^B24</f>
        <v>1</v>
      </c>
    </row>
    <row r="76" spans="1:2" ht="12.75">
      <c r="A76" s="9" t="s">
        <v>16</v>
      </c>
      <c r="B76" s="10">
        <f>1.6^B25</f>
        <v>1</v>
      </c>
    </row>
    <row r="77" spans="1:2" ht="12.75">
      <c r="A77" s="9" t="s">
        <v>17</v>
      </c>
      <c r="B77" s="10">
        <f>1.1^B26</f>
        <v>1</v>
      </c>
    </row>
    <row r="78" spans="1:2" ht="12.75">
      <c r="A78" s="9" t="s">
        <v>18</v>
      </c>
      <c r="B78" s="10">
        <f>1.8^B28</f>
        <v>1</v>
      </c>
    </row>
    <row r="79" spans="1:2" ht="12.75">
      <c r="A79" s="9" t="s">
        <v>19</v>
      </c>
      <c r="B79" s="10">
        <f>1.92^B29</f>
        <v>1</v>
      </c>
    </row>
    <row r="80" spans="1:2" ht="12.75">
      <c r="A80" s="9" t="s">
        <v>20</v>
      </c>
      <c r="B80" s="10">
        <f>1.8^B30</f>
        <v>1</v>
      </c>
    </row>
    <row r="81" spans="1:2" ht="12.75">
      <c r="A81" s="9" t="s">
        <v>21</v>
      </c>
      <c r="B81" s="10">
        <f>1.92^B31</f>
        <v>1</v>
      </c>
    </row>
    <row r="82" spans="1:2" ht="12.75">
      <c r="A82" s="9" t="s">
        <v>22</v>
      </c>
      <c r="B82" s="10">
        <f>1.92^B32</f>
        <v>1</v>
      </c>
    </row>
    <row r="83" spans="1:2" ht="12.75">
      <c r="A83" s="13" t="s">
        <v>0</v>
      </c>
      <c r="B83" s="10">
        <f>1.44^B35</f>
        <v>1</v>
      </c>
    </row>
    <row r="84" spans="1:2" ht="12.75">
      <c r="A84" s="13" t="s">
        <v>28</v>
      </c>
      <c r="B84" s="10">
        <f>1.2^B36</f>
        <v>1</v>
      </c>
    </row>
    <row r="85" spans="1:2" ht="12.75">
      <c r="A85" s="9" t="s">
        <v>32</v>
      </c>
      <c r="B85" s="10">
        <f>2^B37</f>
        <v>1</v>
      </c>
    </row>
    <row r="86" spans="1:2" ht="12.75">
      <c r="A86" s="9" t="s">
        <v>33</v>
      </c>
      <c r="B86" s="10">
        <f>2^B38</f>
        <v>1</v>
      </c>
    </row>
    <row r="87" spans="1:2" ht="12.75">
      <c r="A87" s="9" t="s">
        <v>38</v>
      </c>
      <c r="B87" s="19">
        <f>IF(B54=1,100,1)</f>
        <v>1</v>
      </c>
    </row>
    <row r="88" spans="1:2" ht="12.75">
      <c r="A88" s="9" t="s">
        <v>39</v>
      </c>
      <c r="B88" s="19">
        <f>IF(B55=1,50,1)</f>
        <v>1</v>
      </c>
    </row>
    <row r="89" spans="1:2" ht="12.75">
      <c r="A89" s="9" t="s">
        <v>40</v>
      </c>
      <c r="B89" s="10">
        <f>IF(B54=1,5,1)</f>
        <v>1</v>
      </c>
    </row>
    <row r="90" spans="1:2" ht="12.75">
      <c r="A90" s="9" t="s">
        <v>41</v>
      </c>
      <c r="B90" s="19">
        <f>IF(B57=1,3,1)</f>
        <v>1</v>
      </c>
    </row>
    <row r="91" spans="1:2" ht="12.75">
      <c r="A91" s="9" t="s">
        <v>42</v>
      </c>
      <c r="B91" s="19">
        <f>IF(B56=1,50,1)</f>
        <v>1</v>
      </c>
    </row>
    <row r="92" spans="1:2" ht="12.75">
      <c r="A92" s="9" t="s">
        <v>43</v>
      </c>
      <c r="B92" s="19">
        <f>IF(B57=1,25,1)</f>
        <v>1</v>
      </c>
    </row>
    <row r="93" spans="1:2" ht="12.75">
      <c r="A93" s="9" t="s">
        <v>44</v>
      </c>
      <c r="B93" s="10">
        <f>IF(B56=1,3,1)</f>
        <v>1</v>
      </c>
    </row>
    <row r="94" spans="1:2" ht="12.75">
      <c r="A94" s="9" t="s">
        <v>45</v>
      </c>
      <c r="B94" s="10">
        <f>IF(B57=1,2,1)</f>
        <v>1</v>
      </c>
    </row>
    <row r="95" spans="1:2" ht="12.75">
      <c r="A95" s="9" t="s">
        <v>46</v>
      </c>
      <c r="B95" s="10">
        <f>IF(B59=1,500,1)</f>
        <v>1</v>
      </c>
    </row>
    <row r="96" spans="1:2" ht="12.75">
      <c r="A96" s="18" t="s">
        <v>37</v>
      </c>
      <c r="B96" s="7">
        <f>IF(B39=1,5,1)</f>
        <v>1</v>
      </c>
    </row>
    <row r="97" spans="1:2" ht="12.75">
      <c r="A97" s="18" t="s">
        <v>47</v>
      </c>
      <c r="B97" s="7">
        <f>1.5^B40</f>
        <v>1</v>
      </c>
    </row>
    <row r="98" spans="1:2" ht="12.75">
      <c r="A98" s="18" t="s">
        <v>48</v>
      </c>
      <c r="B98" s="7">
        <f>1.5^B41</f>
        <v>1</v>
      </c>
    </row>
    <row r="99" spans="1:2" ht="12.75">
      <c r="A99" s="18" t="s">
        <v>52</v>
      </c>
      <c r="B99" s="7">
        <f>1.44^B42</f>
        <v>1</v>
      </c>
    </row>
    <row r="100" spans="1:2" ht="12.75">
      <c r="A100" s="18" t="s">
        <v>53</v>
      </c>
      <c r="B100" s="7">
        <f>1.25^B42</f>
        <v>1</v>
      </c>
    </row>
    <row r="101" spans="1:2" ht="12.75">
      <c r="A101" s="18" t="s">
        <v>57</v>
      </c>
      <c r="B101" s="125">
        <f>1+(B10/25)</f>
        <v>6</v>
      </c>
    </row>
    <row r="102" spans="1:2" ht="12.75">
      <c r="A102" s="18" t="s">
        <v>58</v>
      </c>
      <c r="B102" s="125">
        <f>1+(B11/25)</f>
        <v>1</v>
      </c>
    </row>
    <row r="103" spans="1:2" ht="12.75">
      <c r="A103" s="18" t="s">
        <v>80</v>
      </c>
      <c r="B103" s="7">
        <f>1.1^B60</f>
        <v>1</v>
      </c>
    </row>
    <row r="104" spans="1:2" ht="12.75">
      <c r="A104" s="18" t="s">
        <v>81</v>
      </c>
      <c r="B104" s="7">
        <f>1.2^B61</f>
        <v>1</v>
      </c>
    </row>
    <row r="105" spans="1:2" ht="12.75">
      <c r="A105" s="18" t="s">
        <v>82</v>
      </c>
      <c r="B105" s="7">
        <f>1.1^B62</f>
        <v>1</v>
      </c>
    </row>
    <row r="106" spans="1:2" ht="12.75">
      <c r="A106" s="18" t="s">
        <v>83</v>
      </c>
      <c r="B106" s="7">
        <f>1.2^B63</f>
        <v>1</v>
      </c>
    </row>
    <row r="107" spans="1:2" ht="12.75">
      <c r="A107" s="18" t="s">
        <v>84</v>
      </c>
      <c r="B107" s="7">
        <f>1.15^B16</f>
        <v>1</v>
      </c>
    </row>
    <row r="108" spans="1:2" ht="12.75">
      <c r="A108" s="18" t="s">
        <v>85</v>
      </c>
      <c r="B108" s="7">
        <f>2.3^B32</f>
        <v>1</v>
      </c>
    </row>
    <row r="109" spans="1:2" ht="12.75">
      <c r="A109" s="7" t="s">
        <v>86</v>
      </c>
      <c r="B109" s="7">
        <f>1.15^B28</f>
        <v>1</v>
      </c>
    </row>
    <row r="110" spans="1:2" ht="12.75">
      <c r="A110" s="7" t="s">
        <v>87</v>
      </c>
      <c r="B110" s="7">
        <f>1.15^B29</f>
        <v>1</v>
      </c>
    </row>
    <row r="111" spans="1:2" ht="12.75">
      <c r="A111" s="7" t="s">
        <v>88</v>
      </c>
      <c r="B111" s="7">
        <f>1.15^B30</f>
        <v>1</v>
      </c>
    </row>
    <row r="112" spans="1:2" ht="12.75">
      <c r="A112" s="7" t="s">
        <v>89</v>
      </c>
      <c r="B112" s="7">
        <f>1.15^B31</f>
        <v>1</v>
      </c>
    </row>
    <row r="113" spans="1:2" ht="12.75">
      <c r="A113" s="18" t="s">
        <v>90</v>
      </c>
      <c r="B113" s="7">
        <f>IF(B45=1,2,1)</f>
        <v>1</v>
      </c>
    </row>
    <row r="114" spans="1:4" ht="12.75">
      <c r="A114" s="18" t="s">
        <v>91</v>
      </c>
      <c r="B114" s="7">
        <f>IF(B46=1,2,1)</f>
        <v>1</v>
      </c>
      <c r="C114">
        <f>IF(B12&gt;99,B12-99,0)</f>
        <v>0</v>
      </c>
      <c r="D114">
        <f>(1.1^(C114))</f>
        <v>1</v>
      </c>
    </row>
    <row r="115" spans="1:2" ht="12.75">
      <c r="A115" s="18" t="s">
        <v>102</v>
      </c>
      <c r="B115" s="7">
        <f>IF(B49=1,2,1)</f>
        <v>1</v>
      </c>
    </row>
    <row r="116" spans="1:2" ht="12.75">
      <c r="A116" s="18" t="s">
        <v>103</v>
      </c>
      <c r="B116" s="7">
        <f>IF(B50=1,2,1)</f>
        <v>1</v>
      </c>
    </row>
    <row r="117" spans="1:2" ht="12.75">
      <c r="A117" s="18" t="s">
        <v>112</v>
      </c>
      <c r="B117" s="65">
        <f>IF(B12&gt;99,(3008669732194)*D114,10*1.306^B12)</f>
        <v>10</v>
      </c>
    </row>
    <row r="118" spans="1:2" ht="12.75">
      <c r="A118" s="18" t="s">
        <v>162</v>
      </c>
      <c r="B118" s="65">
        <f>10*1.306^99</f>
        <v>3008669732194.171</v>
      </c>
    </row>
    <row r="119" spans="1:2" ht="12.75">
      <c r="A119" s="18" t="s">
        <v>163</v>
      </c>
      <c r="B119" s="65">
        <f>10*1.306^(9.9*B27)</f>
        <v>10</v>
      </c>
    </row>
    <row r="120" spans="1:5" ht="12.75">
      <c r="A120" s="18" t="s">
        <v>164</v>
      </c>
      <c r="B120" s="7">
        <f>10*B27</f>
        <v>0</v>
      </c>
      <c r="E120" s="1"/>
    </row>
    <row r="121" spans="1:2" ht="12.75">
      <c r="A121" s="18" t="s">
        <v>165</v>
      </c>
      <c r="B121" s="7">
        <f>1.70563^(B35+B42)</f>
        <v>1</v>
      </c>
    </row>
    <row r="122" spans="1:4" ht="12.75">
      <c r="A122" s="18" t="s">
        <v>166</v>
      </c>
      <c r="B122" s="7">
        <f>IF(B58=1,4,1)</f>
        <v>1</v>
      </c>
      <c r="D122" s="55"/>
    </row>
    <row r="123" spans="1:4" ht="12.75">
      <c r="A123" s="91" t="s">
        <v>180</v>
      </c>
      <c r="B123">
        <f>IF(B53=1,5,1)</f>
        <v>1</v>
      </c>
      <c r="D123" s="1"/>
    </row>
  </sheetData>
  <mergeCells count="1">
    <mergeCell ref="E28:G30"/>
  </mergeCells>
  <printOptions/>
  <pageMargins left="0.75" right="0.75" top="1" bottom="1" header="0.5" footer="0.5"/>
  <pageSetup horizontalDpi="600" verticalDpi="600" orientation="portrait" r:id="rId1"/>
  <ignoredErrors>
    <ignoredError sqref="B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B1" sqref="B1"/>
    </sheetView>
  </sheetViews>
  <sheetFormatPr defaultColWidth="9.140625" defaultRowHeight="12.75"/>
  <cols>
    <col min="1" max="1" width="22.421875" style="0" customWidth="1"/>
    <col min="2" max="2" width="12.7109375" style="0" bestFit="1" customWidth="1"/>
    <col min="3" max="3" width="7.7109375" style="0" customWidth="1"/>
    <col min="4" max="4" width="14.28125" style="0" bestFit="1" customWidth="1"/>
    <col min="5" max="5" width="19.57421875" style="0" customWidth="1"/>
    <col min="6" max="9" width="5.28125" style="0" customWidth="1"/>
    <col min="10" max="10" width="5.57421875" style="0" customWidth="1"/>
    <col min="11" max="11" width="8.00390625" style="0" bestFit="1" customWidth="1"/>
    <col min="12" max="12" width="18.7109375" style="0" customWidth="1"/>
    <col min="13" max="13" width="20.421875" style="0" customWidth="1"/>
    <col min="14" max="16384" width="7.7109375" style="0" customWidth="1"/>
  </cols>
  <sheetData>
    <row r="1" spans="1:11" ht="13.5" thickBot="1">
      <c r="A1" s="52" t="s">
        <v>140</v>
      </c>
      <c r="B1" s="99"/>
      <c r="D1" s="92" t="s">
        <v>210</v>
      </c>
      <c r="E1" s="93">
        <f>B2*B36*B37*B38*B39*B40*B41*B42*B43*B45*B46*B47*B49*B50*B51*B52*B54*B55*B56</f>
        <v>0</v>
      </c>
      <c r="F1" s="20"/>
      <c r="H1" s="5"/>
      <c r="I1" s="5"/>
      <c r="J1" s="20"/>
      <c r="K1" s="5"/>
    </row>
    <row r="2" spans="1:11" ht="13.5" thickBot="1">
      <c r="A2" s="98" t="s">
        <v>141</v>
      </c>
      <c r="B2" s="122">
        <v>0</v>
      </c>
      <c r="D2" s="102" t="s">
        <v>209</v>
      </c>
      <c r="E2" s="103">
        <f>B2*B36*B37*B38*B39*B40*B45*B46*B47*B49*B50*B51*B52*B54*B55*B56</f>
        <v>0</v>
      </c>
      <c r="F2" s="5"/>
      <c r="H2" s="5"/>
      <c r="I2" s="5"/>
      <c r="J2" s="5"/>
      <c r="K2" s="5"/>
    </row>
    <row r="3" spans="1:11" ht="13.5" thickBot="1">
      <c r="A3" s="5"/>
      <c r="B3" s="5"/>
      <c r="E3" s="5"/>
      <c r="F3" s="5"/>
      <c r="H3" s="53"/>
      <c r="I3" s="53"/>
      <c r="J3" s="53"/>
      <c r="K3" s="53"/>
    </row>
    <row r="4" spans="1:11" ht="13.5" thickBot="1">
      <c r="A4" s="52" t="s">
        <v>55</v>
      </c>
      <c r="B4" s="8"/>
      <c r="H4" s="53"/>
      <c r="I4" s="53"/>
      <c r="J4" s="53"/>
      <c r="K4" s="53"/>
    </row>
    <row r="5" spans="1:13" ht="13.5" thickBot="1">
      <c r="A5" s="14" t="s">
        <v>142</v>
      </c>
      <c r="B5" s="16">
        <v>0</v>
      </c>
      <c r="E5" s="12" t="s">
        <v>190</v>
      </c>
      <c r="F5" s="105" t="s">
        <v>207</v>
      </c>
      <c r="G5" s="105" t="s">
        <v>167</v>
      </c>
      <c r="H5" s="106" t="s">
        <v>22</v>
      </c>
      <c r="I5" s="106" t="s">
        <v>184</v>
      </c>
      <c r="J5" s="106" t="s">
        <v>208</v>
      </c>
      <c r="K5" s="106" t="s">
        <v>212</v>
      </c>
      <c r="L5" s="105" t="s">
        <v>141</v>
      </c>
      <c r="M5" s="8" t="s">
        <v>211</v>
      </c>
    </row>
    <row r="6" spans="1:13" ht="13.5" thickBot="1">
      <c r="A6" s="5"/>
      <c r="B6" s="54"/>
      <c r="E6" s="13" t="s">
        <v>191</v>
      </c>
      <c r="F6" s="7"/>
      <c r="G6" s="18"/>
      <c r="H6" s="18">
        <v>1</v>
      </c>
      <c r="I6" s="18"/>
      <c r="J6" s="18"/>
      <c r="K6" s="18"/>
      <c r="L6" s="65">
        <f>(1.25^F6)*(1.2^G6)*(1.6^H6)*(1.66^J6)*(1.69^K6)*E2</f>
        <v>0</v>
      </c>
      <c r="M6" s="10">
        <f aca="true" t="shared" si="0" ref="M6:M21">SUM(F6:G6,I6)*0.2*L6</f>
        <v>0</v>
      </c>
    </row>
    <row r="7" spans="1:13" ht="12.75">
      <c r="A7" s="52" t="s">
        <v>143</v>
      </c>
      <c r="B7" s="17"/>
      <c r="C7" s="54"/>
      <c r="D7" s="54"/>
      <c r="E7" s="13" t="s">
        <v>192</v>
      </c>
      <c r="F7" s="7"/>
      <c r="G7" s="18"/>
      <c r="H7" s="7"/>
      <c r="I7" s="7"/>
      <c r="J7" s="7"/>
      <c r="K7" s="7">
        <v>1</v>
      </c>
      <c r="L7" s="65">
        <f aca="true" t="shared" si="1" ref="L7:L21">(1.25^F7)*(1.2^G7)*(1.6^H7)*(1.66^J7)*(1.69^K7)*L6</f>
        <v>0</v>
      </c>
      <c r="M7" s="10">
        <f t="shared" si="0"/>
        <v>0</v>
      </c>
    </row>
    <row r="8" spans="1:13" ht="12.75">
      <c r="A8" s="13" t="s">
        <v>144</v>
      </c>
      <c r="B8" s="15">
        <v>0</v>
      </c>
      <c r="C8" s="89"/>
      <c r="D8" s="5"/>
      <c r="E8" s="13" t="s">
        <v>193</v>
      </c>
      <c r="F8" s="7"/>
      <c r="G8" s="7"/>
      <c r="H8" s="7"/>
      <c r="I8" s="7"/>
      <c r="J8" s="7"/>
      <c r="K8" s="7">
        <v>1</v>
      </c>
      <c r="L8" s="65">
        <f t="shared" si="1"/>
        <v>0</v>
      </c>
      <c r="M8" s="10">
        <f t="shared" si="0"/>
        <v>0</v>
      </c>
    </row>
    <row r="9" spans="1:13" ht="12.75">
      <c r="A9" s="13" t="s">
        <v>145</v>
      </c>
      <c r="B9" s="15">
        <v>0</v>
      </c>
      <c r="C9" s="89"/>
      <c r="D9" s="5"/>
      <c r="E9" s="13" t="s">
        <v>194</v>
      </c>
      <c r="F9" s="7"/>
      <c r="G9" s="7"/>
      <c r="H9" s="7"/>
      <c r="I9" s="7"/>
      <c r="J9" s="7"/>
      <c r="K9" s="7">
        <v>1</v>
      </c>
      <c r="L9" s="65">
        <f t="shared" si="1"/>
        <v>0</v>
      </c>
      <c r="M9" s="10">
        <f t="shared" si="0"/>
        <v>0</v>
      </c>
    </row>
    <row r="10" spans="1:13" ht="13.5" thickBot="1">
      <c r="A10" s="14" t="s">
        <v>146</v>
      </c>
      <c r="B10" s="16">
        <v>0</v>
      </c>
      <c r="C10" s="89"/>
      <c r="D10" s="5"/>
      <c r="E10" s="13" t="s">
        <v>195</v>
      </c>
      <c r="F10" s="7"/>
      <c r="G10" s="7"/>
      <c r="H10" s="7"/>
      <c r="I10" s="7"/>
      <c r="J10" s="7"/>
      <c r="K10" s="7">
        <v>1</v>
      </c>
      <c r="L10" s="65">
        <f t="shared" si="1"/>
        <v>0</v>
      </c>
      <c r="M10" s="10">
        <f t="shared" si="0"/>
        <v>0</v>
      </c>
    </row>
    <row r="11" spans="1:13" ht="13.5" thickBot="1">
      <c r="A11" s="5"/>
      <c r="B11" s="5"/>
      <c r="C11" s="5"/>
      <c r="D11" s="5"/>
      <c r="E11" s="13" t="s">
        <v>196</v>
      </c>
      <c r="F11" s="7"/>
      <c r="G11" s="7"/>
      <c r="H11" s="7"/>
      <c r="I11" s="7"/>
      <c r="J11" s="7"/>
      <c r="K11" s="7">
        <v>1</v>
      </c>
      <c r="L11" s="65">
        <f t="shared" si="1"/>
        <v>0</v>
      </c>
      <c r="M11" s="10">
        <f t="shared" si="0"/>
        <v>0</v>
      </c>
    </row>
    <row r="12" spans="1:13" ht="12.75">
      <c r="A12" s="52" t="s">
        <v>147</v>
      </c>
      <c r="B12" s="8"/>
      <c r="C12" s="5"/>
      <c r="D12" s="5"/>
      <c r="E12" s="13" t="s">
        <v>197</v>
      </c>
      <c r="F12" s="7"/>
      <c r="G12" s="7"/>
      <c r="H12" s="7"/>
      <c r="I12" s="7"/>
      <c r="J12" s="7"/>
      <c r="K12" s="7">
        <v>1</v>
      </c>
      <c r="L12" s="65">
        <f t="shared" si="1"/>
        <v>0</v>
      </c>
      <c r="M12" s="10">
        <f t="shared" si="0"/>
        <v>0</v>
      </c>
    </row>
    <row r="13" spans="1:13" ht="12.75">
      <c r="A13" s="13" t="s">
        <v>145</v>
      </c>
      <c r="B13" s="15">
        <v>0</v>
      </c>
      <c r="C13" s="89"/>
      <c r="D13" s="5"/>
      <c r="E13" s="13" t="s">
        <v>198</v>
      </c>
      <c r="F13" s="7"/>
      <c r="G13" s="7"/>
      <c r="H13" s="7"/>
      <c r="I13" s="7"/>
      <c r="J13" s="7"/>
      <c r="K13" s="7">
        <v>1</v>
      </c>
      <c r="L13" s="65">
        <f t="shared" si="1"/>
        <v>0</v>
      </c>
      <c r="M13" s="10">
        <f t="shared" si="0"/>
        <v>0</v>
      </c>
    </row>
    <row r="14" spans="1:13" ht="12.75">
      <c r="A14" s="13" t="s">
        <v>148</v>
      </c>
      <c r="B14" s="15">
        <v>0</v>
      </c>
      <c r="C14" s="89"/>
      <c r="D14" s="5"/>
      <c r="E14" s="13" t="s">
        <v>199</v>
      </c>
      <c r="F14" s="7"/>
      <c r="G14" s="7"/>
      <c r="H14" s="7"/>
      <c r="I14" s="7"/>
      <c r="J14" s="7"/>
      <c r="K14" s="7">
        <v>1</v>
      </c>
      <c r="L14" s="65">
        <f t="shared" si="1"/>
        <v>0</v>
      </c>
      <c r="M14" s="10">
        <f t="shared" si="0"/>
        <v>0</v>
      </c>
    </row>
    <row r="15" spans="1:13" ht="12.75">
      <c r="A15" s="13" t="s">
        <v>49</v>
      </c>
      <c r="B15" s="15">
        <v>0</v>
      </c>
      <c r="C15" s="89"/>
      <c r="D15" s="5"/>
      <c r="E15" s="13" t="s">
        <v>200</v>
      </c>
      <c r="F15" s="7"/>
      <c r="G15" s="7"/>
      <c r="H15" s="7"/>
      <c r="I15" s="7"/>
      <c r="J15" s="7"/>
      <c r="K15" s="7">
        <v>1</v>
      </c>
      <c r="L15" s="65">
        <f t="shared" si="1"/>
        <v>0</v>
      </c>
      <c r="M15" s="10">
        <f t="shared" si="0"/>
        <v>0</v>
      </c>
    </row>
    <row r="16" spans="1:13" ht="13.5" thickBot="1">
      <c r="A16" s="14" t="s">
        <v>189</v>
      </c>
      <c r="B16" s="16">
        <v>0</v>
      </c>
      <c r="C16" s="89"/>
      <c r="D16" s="5"/>
      <c r="E16" s="13" t="s">
        <v>201</v>
      </c>
      <c r="F16" s="7"/>
      <c r="G16" s="7"/>
      <c r="H16" s="7"/>
      <c r="I16" s="7"/>
      <c r="J16" s="7"/>
      <c r="K16" s="7">
        <v>1</v>
      </c>
      <c r="L16" s="65">
        <f t="shared" si="1"/>
        <v>0</v>
      </c>
      <c r="M16" s="10">
        <f t="shared" si="0"/>
        <v>0</v>
      </c>
    </row>
    <row r="17" spans="3:13" ht="13.5" thickBot="1">
      <c r="C17" s="5"/>
      <c r="D17" s="5"/>
      <c r="E17" s="13" t="s">
        <v>202</v>
      </c>
      <c r="F17" s="7"/>
      <c r="G17" s="7"/>
      <c r="H17" s="7"/>
      <c r="I17" s="7"/>
      <c r="J17" s="7"/>
      <c r="K17" s="7">
        <v>1</v>
      </c>
      <c r="L17" s="65">
        <f t="shared" si="1"/>
        <v>0</v>
      </c>
      <c r="M17" s="10">
        <f t="shared" si="0"/>
        <v>0</v>
      </c>
    </row>
    <row r="18" spans="1:13" ht="12.75">
      <c r="A18" s="87" t="s">
        <v>178</v>
      </c>
      <c r="B18" s="8"/>
      <c r="D18" s="5"/>
      <c r="E18" s="13" t="s">
        <v>203</v>
      </c>
      <c r="F18" s="7">
        <v>1</v>
      </c>
      <c r="G18" s="7"/>
      <c r="H18" s="7"/>
      <c r="I18" s="7"/>
      <c r="J18" s="7"/>
      <c r="K18" s="7"/>
      <c r="L18" s="65">
        <f t="shared" si="1"/>
        <v>0</v>
      </c>
      <c r="M18" s="10">
        <f t="shared" si="0"/>
        <v>0</v>
      </c>
    </row>
    <row r="19" spans="1:13" ht="12.75">
      <c r="A19" s="13" t="s">
        <v>176</v>
      </c>
      <c r="B19" s="15">
        <v>0</v>
      </c>
      <c r="C19" s="89"/>
      <c r="D19" s="5"/>
      <c r="E19" s="13" t="s">
        <v>204</v>
      </c>
      <c r="F19" s="18">
        <v>1</v>
      </c>
      <c r="G19" s="18"/>
      <c r="H19" s="7"/>
      <c r="I19" s="7"/>
      <c r="J19" s="7"/>
      <c r="K19" s="7"/>
      <c r="L19" s="104">
        <f t="shared" si="1"/>
        <v>0</v>
      </c>
      <c r="M19" s="10">
        <f t="shared" si="0"/>
        <v>0</v>
      </c>
    </row>
    <row r="20" spans="1:13" ht="12.75">
      <c r="A20" s="13" t="s">
        <v>177</v>
      </c>
      <c r="B20" s="15">
        <v>0</v>
      </c>
      <c r="C20" s="89"/>
      <c r="D20" s="5"/>
      <c r="E20" s="13" t="s">
        <v>205</v>
      </c>
      <c r="F20" s="18">
        <v>1</v>
      </c>
      <c r="G20" s="18"/>
      <c r="H20" s="7"/>
      <c r="I20" s="7"/>
      <c r="J20" s="7"/>
      <c r="K20" s="7"/>
      <c r="L20" s="65">
        <f t="shared" si="1"/>
        <v>0</v>
      </c>
      <c r="M20" s="10">
        <f t="shared" si="0"/>
        <v>0</v>
      </c>
    </row>
    <row r="21" spans="1:13" ht="13.5" thickBot="1">
      <c r="A21" s="14" t="s">
        <v>179</v>
      </c>
      <c r="B21" s="16">
        <v>0</v>
      </c>
      <c r="C21" s="89"/>
      <c r="D21" s="5"/>
      <c r="E21" s="14" t="s">
        <v>206</v>
      </c>
      <c r="F21" s="107">
        <v>1</v>
      </c>
      <c r="G21" s="107"/>
      <c r="H21" s="108"/>
      <c r="I21" s="108"/>
      <c r="J21" s="108"/>
      <c r="K21" s="108"/>
      <c r="L21" s="109">
        <f t="shared" si="1"/>
        <v>0</v>
      </c>
      <c r="M21" s="110">
        <f t="shared" si="0"/>
        <v>0</v>
      </c>
    </row>
    <row r="22" spans="1:7" ht="13.5" thickBot="1">
      <c r="A22" s="5"/>
      <c r="B22" s="5"/>
      <c r="C22" s="5"/>
      <c r="D22" s="5"/>
      <c r="F22" s="5"/>
      <c r="G22" s="5"/>
    </row>
    <row r="23" spans="1:13" ht="12.75">
      <c r="A23" s="52" t="s">
        <v>150</v>
      </c>
      <c r="B23" s="8"/>
      <c r="C23" s="5"/>
      <c r="D23" s="5"/>
      <c r="F23" s="5"/>
      <c r="G23" s="5"/>
      <c r="L23" s="111" t="s">
        <v>183</v>
      </c>
      <c r="M23" s="112">
        <f>SUM(M6:M22)</f>
        <v>0</v>
      </c>
    </row>
    <row r="24" spans="1:13" ht="12.75">
      <c r="A24" s="13" t="s">
        <v>151</v>
      </c>
      <c r="B24" s="15">
        <v>0</v>
      </c>
      <c r="C24" s="5"/>
      <c r="D24" s="5"/>
      <c r="F24" s="5"/>
      <c r="G24" s="5"/>
      <c r="L24" s="113"/>
      <c r="M24" s="114"/>
    </row>
    <row r="25" spans="1:13" ht="12.75">
      <c r="A25" s="13" t="s">
        <v>152</v>
      </c>
      <c r="B25" s="15">
        <v>0</v>
      </c>
      <c r="C25" s="5"/>
      <c r="D25" s="5"/>
      <c r="H25" s="1"/>
      <c r="K25" s="1"/>
      <c r="L25" s="113" t="s">
        <v>185</v>
      </c>
      <c r="M25" s="115">
        <f>8000000+(M23/250)</f>
        <v>8000000</v>
      </c>
    </row>
    <row r="26" spans="1:13" ht="12.75">
      <c r="A26" s="13" t="s">
        <v>153</v>
      </c>
      <c r="B26" s="15">
        <v>0</v>
      </c>
      <c r="C26" s="5"/>
      <c r="D26" s="5"/>
      <c r="E26" s="5"/>
      <c r="H26" s="1"/>
      <c r="L26" s="116" t="s">
        <v>187</v>
      </c>
      <c r="M26" s="117">
        <f>M25*10</f>
        <v>80000000</v>
      </c>
    </row>
    <row r="27" spans="1:13" ht="13.5" thickBot="1">
      <c r="A27" s="11" t="s">
        <v>158</v>
      </c>
      <c r="B27" s="16">
        <v>1</v>
      </c>
      <c r="C27" s="5"/>
      <c r="D27" s="5"/>
      <c r="E27" s="5"/>
      <c r="H27" s="1"/>
      <c r="L27" s="116" t="s">
        <v>188</v>
      </c>
      <c r="M27" s="115">
        <f>M26*10</f>
        <v>800000000</v>
      </c>
    </row>
    <row r="28" spans="1:13" ht="13.5" thickBot="1">
      <c r="A28" s="54"/>
      <c r="B28" s="5"/>
      <c r="C28" s="5"/>
      <c r="D28" s="5"/>
      <c r="E28" s="5"/>
      <c r="H28" s="1"/>
      <c r="J28" s="1"/>
      <c r="L28" s="113"/>
      <c r="M28" s="115"/>
    </row>
    <row r="29" spans="1:13" ht="12.75">
      <c r="A29" s="52" t="s">
        <v>27</v>
      </c>
      <c r="B29" s="17"/>
      <c r="C29" s="5"/>
      <c r="D29" s="56"/>
      <c r="E29" s="5"/>
      <c r="H29" s="1"/>
      <c r="L29" s="116" t="s">
        <v>186</v>
      </c>
      <c r="M29" s="117">
        <f>M23/100000</f>
        <v>0</v>
      </c>
    </row>
    <row r="30" spans="1:13" ht="12.75">
      <c r="A30" s="100" t="s">
        <v>184</v>
      </c>
      <c r="B30" s="101">
        <v>0</v>
      </c>
      <c r="C30" s="5"/>
      <c r="D30" s="5"/>
      <c r="E30" s="5"/>
      <c r="H30" s="1"/>
      <c r="L30" s="116" t="s">
        <v>187</v>
      </c>
      <c r="M30" s="117">
        <f>M29*10</f>
        <v>0</v>
      </c>
    </row>
    <row r="31" spans="1:13" ht="13.5" thickBot="1">
      <c r="A31" s="13" t="s">
        <v>157</v>
      </c>
      <c r="B31" s="15">
        <v>0</v>
      </c>
      <c r="C31" s="57"/>
      <c r="D31" s="5"/>
      <c r="E31" s="5"/>
      <c r="H31" s="1"/>
      <c r="J31" s="1"/>
      <c r="L31" s="118" t="s">
        <v>188</v>
      </c>
      <c r="M31" s="103">
        <f>M30*10</f>
        <v>0</v>
      </c>
    </row>
    <row r="32" spans="1:8" ht="12.75">
      <c r="A32" s="13" t="s">
        <v>167</v>
      </c>
      <c r="B32" s="15">
        <v>0</v>
      </c>
      <c r="C32" s="57"/>
      <c r="D32" s="5"/>
      <c r="E32" s="5"/>
      <c r="H32" s="1"/>
    </row>
    <row r="33" spans="1:8" ht="13.5" thickBot="1">
      <c r="A33" s="14" t="s">
        <v>22</v>
      </c>
      <c r="B33" s="16">
        <v>0</v>
      </c>
      <c r="C33" s="57"/>
      <c r="D33" s="5"/>
      <c r="E33" s="5"/>
      <c r="H33" s="1"/>
    </row>
    <row r="34" spans="3:10" ht="13.5" thickBot="1">
      <c r="C34" s="5"/>
      <c r="D34" s="5"/>
      <c r="E34" s="5"/>
      <c r="H34" s="1"/>
      <c r="J34" s="1"/>
    </row>
    <row r="35" spans="1:8" ht="12.75">
      <c r="A35" s="58" t="s">
        <v>154</v>
      </c>
      <c r="H35" s="1"/>
    </row>
    <row r="36" spans="1:8" ht="12.75">
      <c r="A36" s="18" t="s">
        <v>151</v>
      </c>
      <c r="B36" s="7">
        <f>IF(B24=1,2,1)</f>
        <v>1</v>
      </c>
      <c r="H36" s="1"/>
    </row>
    <row r="37" spans="1:13" ht="12.75">
      <c r="A37" s="18" t="s">
        <v>152</v>
      </c>
      <c r="B37" s="7">
        <f>1.1^B25</f>
        <v>1</v>
      </c>
      <c r="H37" s="1"/>
      <c r="J37" s="1"/>
      <c r="L37" s="1"/>
      <c r="M37" s="1"/>
    </row>
    <row r="38" spans="1:13" ht="12.75">
      <c r="A38" s="18" t="s">
        <v>153</v>
      </c>
      <c r="B38" s="7">
        <f>1.2^B26</f>
        <v>1</v>
      </c>
      <c r="H38" s="1"/>
      <c r="L38" s="1"/>
      <c r="M38" s="1"/>
    </row>
    <row r="39" spans="1:13" ht="12.75">
      <c r="A39" s="7" t="s">
        <v>158</v>
      </c>
      <c r="B39" s="7">
        <f>IF(B27=1,2,1)</f>
        <v>2</v>
      </c>
      <c r="H39" s="1"/>
      <c r="L39" s="1"/>
      <c r="M39" s="1"/>
    </row>
    <row r="40" spans="1:13" ht="12.75">
      <c r="A40" s="18" t="s">
        <v>142</v>
      </c>
      <c r="B40" s="7">
        <f>IF(B5&gt;99,((B5-99)/100)+1,1)</f>
        <v>1</v>
      </c>
      <c r="H40" s="1"/>
      <c r="J40" s="1"/>
      <c r="L40" s="1"/>
      <c r="M40" s="1"/>
    </row>
    <row r="41" spans="1:8" ht="12.75">
      <c r="A41" s="18" t="s">
        <v>168</v>
      </c>
      <c r="B41" s="7">
        <f>1.25^B31</f>
        <v>1</v>
      </c>
      <c r="H41" s="1"/>
    </row>
    <row r="42" spans="1:8" ht="12.75">
      <c r="A42" s="18" t="s">
        <v>169</v>
      </c>
      <c r="B42" s="7">
        <f>1.2^B32</f>
        <v>1</v>
      </c>
      <c r="H42" s="1"/>
    </row>
    <row r="43" spans="1:10" ht="12.75">
      <c r="A43" s="18" t="s">
        <v>22</v>
      </c>
      <c r="B43" s="7">
        <f>1.6^B33</f>
        <v>1</v>
      </c>
      <c r="H43" s="1"/>
      <c r="J43" s="1"/>
    </row>
    <row r="44" ht="12.75">
      <c r="H44" s="1"/>
    </row>
    <row r="45" spans="1:8" ht="12.75">
      <c r="A45" s="18" t="s">
        <v>155</v>
      </c>
      <c r="B45" s="7">
        <f>1.449^B10</f>
        <v>1</v>
      </c>
      <c r="H45" s="1"/>
    </row>
    <row r="46" spans="1:10" ht="12.75">
      <c r="A46" s="18" t="s">
        <v>144</v>
      </c>
      <c r="B46" s="7">
        <f>1.15^B8</f>
        <v>1</v>
      </c>
      <c r="H46" s="1"/>
      <c r="J46" s="1"/>
    </row>
    <row r="47" spans="1:8" ht="12.75">
      <c r="A47" s="18" t="s">
        <v>156</v>
      </c>
      <c r="B47" s="7">
        <f>1.21^B9</f>
        <v>1</v>
      </c>
      <c r="H47" s="1"/>
    </row>
    <row r="48" ht="12.75">
      <c r="H48" s="1"/>
    </row>
    <row r="49" spans="1:10" ht="12.75">
      <c r="A49" s="13" t="s">
        <v>145</v>
      </c>
      <c r="B49" s="7">
        <f>1.05^B13</f>
        <v>1</v>
      </c>
      <c r="H49" s="1"/>
      <c r="J49" s="1"/>
    </row>
    <row r="50" spans="1:8" ht="12.75">
      <c r="A50" s="13" t="s">
        <v>148</v>
      </c>
      <c r="B50" s="7">
        <f>1.26^B14</f>
        <v>1</v>
      </c>
      <c r="H50" s="1"/>
    </row>
    <row r="51" spans="1:8" ht="12.75">
      <c r="A51" s="13" t="s">
        <v>49</v>
      </c>
      <c r="B51" s="7">
        <f>2^B15</f>
        <v>1</v>
      </c>
      <c r="H51" s="1"/>
    </row>
    <row r="52" spans="1:10" ht="13.5" thickBot="1">
      <c r="A52" s="14" t="s">
        <v>149</v>
      </c>
      <c r="B52" s="7">
        <f>2^B16</f>
        <v>1</v>
      </c>
      <c r="H52" s="1"/>
      <c r="J52" s="1"/>
    </row>
    <row r="53" spans="1:8" ht="12.75">
      <c r="A53" s="13"/>
      <c r="H53" s="1"/>
    </row>
    <row r="54" spans="1:8" ht="12.75">
      <c r="A54" s="13" t="s">
        <v>176</v>
      </c>
      <c r="B54">
        <f>2.3^B19</f>
        <v>1</v>
      </c>
      <c r="H54" s="1"/>
    </row>
    <row r="55" spans="1:10" ht="12.75">
      <c r="A55" s="13" t="s">
        <v>177</v>
      </c>
      <c r="B55">
        <f>2.3^B20</f>
        <v>1</v>
      </c>
      <c r="H55" s="1"/>
      <c r="J55" s="1"/>
    </row>
    <row r="56" spans="1:8" ht="13.5" thickBot="1">
      <c r="A56" s="14" t="s">
        <v>175</v>
      </c>
      <c r="B56">
        <f>1.45^B21</f>
        <v>1</v>
      </c>
      <c r="H56" s="1"/>
    </row>
    <row r="57" ht="12.75">
      <c r="H57" s="1"/>
    </row>
    <row r="58" spans="8:10" ht="12.75">
      <c r="H58" s="1"/>
      <c r="J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5" sqref="A15"/>
    </sheetView>
  </sheetViews>
  <sheetFormatPr defaultColWidth="9.140625" defaultRowHeight="12.75"/>
  <cols>
    <col min="1" max="1" width="16.7109375" style="0" customWidth="1"/>
    <col min="2" max="2" width="11.421875" style="0" bestFit="1" customWidth="1"/>
    <col min="3" max="3" width="12.421875" style="0" bestFit="1" customWidth="1"/>
    <col min="4" max="4" width="9.00390625" style="0" customWidth="1"/>
    <col min="5" max="5" width="12.421875" style="0" bestFit="1" customWidth="1"/>
    <col min="6" max="6" width="36.00390625" style="0" bestFit="1" customWidth="1"/>
  </cols>
  <sheetData>
    <row r="1" spans="1:5" ht="25.5">
      <c r="A1" s="35" t="s">
        <v>115</v>
      </c>
      <c r="B1" s="36" t="s">
        <v>116</v>
      </c>
      <c r="C1" s="2"/>
      <c r="E1" s="2"/>
    </row>
    <row r="2" spans="1:5" ht="25.5">
      <c r="A2" s="35" t="s">
        <v>117</v>
      </c>
      <c r="B2" s="36" t="s">
        <v>121</v>
      </c>
      <c r="C2" s="2"/>
      <c r="E2" s="2"/>
    </row>
    <row r="3" spans="1:5" ht="25.5">
      <c r="A3" s="35" t="s">
        <v>118</v>
      </c>
      <c r="B3" s="36" t="s">
        <v>122</v>
      </c>
      <c r="C3" s="2"/>
      <c r="E3" s="2"/>
    </row>
    <row r="4" spans="1:5" ht="25.5">
      <c r="A4" s="35" t="s">
        <v>119</v>
      </c>
      <c r="B4" s="36" t="s">
        <v>123</v>
      </c>
      <c r="C4" s="2"/>
      <c r="E4" s="2"/>
    </row>
    <row r="5" spans="2:5" ht="12.75">
      <c r="B5" s="2" t="s">
        <v>124</v>
      </c>
      <c r="C5" s="2"/>
      <c r="E5" s="2"/>
    </row>
    <row r="6" spans="1:5" ht="12.75">
      <c r="A6" s="2"/>
      <c r="B6" s="2" t="s">
        <v>125</v>
      </c>
      <c r="C6" s="2"/>
      <c r="E6" s="2"/>
    </row>
    <row r="7" spans="1:5" ht="12.75">
      <c r="A7" s="2"/>
      <c r="B7" s="37" t="s">
        <v>126</v>
      </c>
      <c r="E7" s="2"/>
    </row>
    <row r="8" spans="1:3" ht="12.75">
      <c r="A8" s="2"/>
      <c r="B8" s="2" t="s">
        <v>127</v>
      </c>
      <c r="C8" s="2"/>
    </row>
    <row r="9" spans="1:3" ht="12.75">
      <c r="A9" s="2"/>
      <c r="B9" s="2" t="s">
        <v>174</v>
      </c>
      <c r="C9" s="2"/>
    </row>
    <row r="10" spans="1:3" ht="25.5">
      <c r="A10" s="35" t="s">
        <v>120</v>
      </c>
      <c r="B10" s="36" t="s">
        <v>128</v>
      </c>
      <c r="C10" s="2"/>
    </row>
    <row r="11" spans="1:5" ht="12.75">
      <c r="A11" s="2"/>
      <c r="B11" s="2" t="s">
        <v>129</v>
      </c>
      <c r="C11" s="2"/>
      <c r="E11" s="1"/>
    </row>
    <row r="12" spans="1:3" ht="12.75">
      <c r="A12" s="2"/>
      <c r="B12" s="2" t="s">
        <v>130</v>
      </c>
      <c r="C12" s="2"/>
    </row>
    <row r="13" spans="1:3" ht="25.5">
      <c r="A13" s="35" t="s">
        <v>172</v>
      </c>
      <c r="B13" s="36" t="s">
        <v>173</v>
      </c>
      <c r="C13" s="2"/>
    </row>
    <row r="14" spans="1:3" ht="25.5">
      <c r="A14" s="38" t="s">
        <v>131</v>
      </c>
      <c r="B14" s="36" t="s">
        <v>132</v>
      </c>
      <c r="C14" s="2"/>
    </row>
    <row r="15" spans="1:3" ht="15.75">
      <c r="A15" s="2"/>
      <c r="B15" s="36" t="s">
        <v>136</v>
      </c>
      <c r="C15" s="2"/>
    </row>
    <row r="16" spans="1:6" ht="15.75">
      <c r="A16" s="2"/>
      <c r="B16" s="36" t="s">
        <v>134</v>
      </c>
      <c r="C16" s="2"/>
      <c r="F16" s="1"/>
    </row>
    <row r="17" spans="1:3" ht="15.75">
      <c r="A17" s="2"/>
      <c r="B17" s="36" t="s">
        <v>133</v>
      </c>
      <c r="C17" s="2"/>
    </row>
    <row r="18" spans="1:8" ht="12.75" customHeight="1">
      <c r="A18" s="2"/>
      <c r="B18" s="124" t="s">
        <v>182</v>
      </c>
      <c r="C18" s="124"/>
      <c r="D18" s="124"/>
      <c r="E18" s="124"/>
      <c r="F18" s="124"/>
      <c r="G18" s="124"/>
      <c r="H18" s="124"/>
    </row>
    <row r="19" spans="1:8" ht="12.75">
      <c r="A19" s="2"/>
      <c r="B19" s="124"/>
      <c r="C19" s="124"/>
      <c r="D19" s="124"/>
      <c r="E19" s="124"/>
      <c r="F19" s="124"/>
      <c r="G19" s="124"/>
      <c r="H19" s="124"/>
    </row>
    <row r="20" spans="1:3" ht="12.75">
      <c r="A20" s="2"/>
      <c r="C20" s="2"/>
    </row>
    <row r="21" spans="1:3" ht="12.75">
      <c r="A21" s="2"/>
      <c r="B21" s="2" t="s">
        <v>135</v>
      </c>
      <c r="C21" s="2"/>
    </row>
    <row r="22" spans="2:3" ht="12.75">
      <c r="B22" s="2"/>
      <c r="C22" s="2"/>
    </row>
    <row r="23" spans="1:3" ht="12.75">
      <c r="A23" s="2"/>
      <c r="B23" s="2"/>
      <c r="C23" s="1"/>
    </row>
    <row r="24" spans="1:2" s="86" customFormat="1" ht="12.75">
      <c r="A24" s="2"/>
      <c r="B24" s="2"/>
    </row>
    <row r="25" ht="12.75">
      <c r="B25" s="2"/>
    </row>
    <row r="26" spans="1:6" ht="12" customHeight="1">
      <c r="A26" s="119"/>
      <c r="B26" s="120"/>
      <c r="C26" s="121"/>
      <c r="D26" s="121"/>
      <c r="E26" s="121"/>
      <c r="F26" s="121"/>
    </row>
    <row r="27" spans="1:6" ht="12.75">
      <c r="A27" s="120"/>
      <c r="B27" s="121"/>
      <c r="C27" s="121"/>
      <c r="D27" s="121"/>
      <c r="E27" s="121"/>
      <c r="F27" s="121"/>
    </row>
    <row r="40" ht="12.75">
      <c r="B40" s="1"/>
    </row>
  </sheetData>
  <mergeCells count="1">
    <mergeCell ref="B18:H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scott</cp:lastModifiedBy>
  <dcterms:created xsi:type="dcterms:W3CDTF">2007-02-23T23:33:57Z</dcterms:created>
  <dcterms:modified xsi:type="dcterms:W3CDTF">2007-05-16T23:50:04Z</dcterms:modified>
  <cp:category/>
  <cp:version/>
  <cp:contentType/>
  <cp:contentStatus/>
</cp:coreProperties>
</file>