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75" activeTab="0"/>
  </bookViews>
  <sheets>
    <sheet name="Circular Arc intersects Rafter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<sst xmlns="http://schemas.openxmlformats.org/spreadsheetml/2006/main" count="92" uniqueCount="39">
  <si>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x'</t>
  </si>
  <si>
    <t>chord rise/run</t>
  </si>
  <si>
    <t>chord pitch angle radians</t>
  </si>
  <si>
    <t>chord pitch angle degrees</t>
  </si>
  <si>
    <t>pitch difference angle radians</t>
  </si>
  <si>
    <t>pitch difference angle degrees</t>
  </si>
  <si>
    <t>rafter triangle diagonal</t>
  </si>
  <si>
    <t>rafter triangle pitch angle radians</t>
  </si>
  <si>
    <t>rafter triangle pitch angle degrees</t>
  </si>
  <si>
    <t>total run</t>
  </si>
  <si>
    <t>chord</t>
  </si>
  <si>
    <t>radius</t>
  </si>
  <si>
    <t>length: difference in runs</t>
  </si>
  <si>
    <t>radius pitch angle radians</t>
  </si>
  <si>
    <t>radius pitch angle degrees</t>
  </si>
  <si>
    <t>rafter triangle rise/run</t>
  </si>
  <si>
    <t xml:space="preserve">Rafter Triangle Rise </t>
  </si>
  <si>
    <t xml:space="preserve">Rafter Triangle Run </t>
  </si>
  <si>
    <t xml:space="preserve">Length: Difference in Runs </t>
  </si>
  <si>
    <t xml:space="preserve">Radius </t>
  </si>
  <si>
    <t xml:space="preserve">Chord </t>
  </si>
  <si>
    <t xml:space="preserve">Rafter Pitch Angle </t>
  </si>
  <si>
    <t xml:space="preserve">Chord Pitch Angle </t>
  </si>
  <si>
    <t xml:space="preserve">Pitch Difference Angle </t>
  </si>
  <si>
    <t xml:space="preserve">Rafter Triangle Diagonal </t>
  </si>
  <si>
    <t xml:space="preserve">Total Run </t>
  </si>
  <si>
    <t>Analysis of Circular Arc intersecting Rafter</t>
  </si>
  <si>
    <t>Calculations</t>
  </si>
  <si>
    <t>chord triangle altitude</t>
  </si>
  <si>
    <t>sagitta</t>
  </si>
  <si>
    <t>arc length between points</t>
  </si>
  <si>
    <t xml:space="preserve">Sagitta </t>
  </si>
  <si>
    <t xml:space="preserve">Arc Length between Points </t>
  </si>
  <si>
    <t xml:space="preserve">Altitude to Chord </t>
  </si>
  <si>
    <t>x (h)</t>
  </si>
  <si>
    <t>y' (k)</t>
  </si>
  <si>
    <t>radius: chord-sagitta</t>
  </si>
  <si>
    <t>y (at x = 0)</t>
  </si>
  <si>
    <t>NOTE: Always check calculations with a scale drawing.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</si>
</sst>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4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4"/>
      <color indexed="17"/>
      <name val="Times New Roman"/>
      <family val="1"/>
    </font>
    <font>
      <sz val="12"/>
      <name val="Arial"/>
      <family val="2"/>
    </font>
    <font>
      <b/>
      <sz val="12"/>
      <color indexed="62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8</xdr:col>
      <xdr:colOff>142875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334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26</xdr:row>
      <xdr:rowOff>161925</xdr:rowOff>
    </xdr:from>
    <xdr:to>
      <xdr:col>14</xdr:col>
      <xdr:colOff>333375</xdr:colOff>
      <xdr:row>41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372225"/>
          <a:ext cx="4572000" cy="3619500"/>
        </a:xfrm>
        <a:prstGeom prst="rect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6</xdr:row>
      <xdr:rowOff>0</xdr:rowOff>
    </xdr:from>
    <xdr:to>
      <xdr:col>14</xdr:col>
      <xdr:colOff>333375</xdr:colOff>
      <xdr:row>24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1447800"/>
          <a:ext cx="4572000" cy="4476750"/>
        </a:xfrm>
        <a:prstGeom prst="rect">
          <a:avLst/>
        </a:prstGeom>
        <a:noFill/>
        <a:ln w="28575" cmpd="sng">
          <a:solidFill>
            <a:srgbClr val="33339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5" max="5" width="13.00390625" style="0" customWidth="1"/>
    <col min="19" max="19" width="13.00390625" style="0" customWidth="1"/>
    <col min="24" max="24" width="13.00390625" style="0" customWidth="1"/>
  </cols>
  <sheetData>
    <row r="1" spans="1:3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0.25">
      <c r="A2" s="1"/>
      <c r="B2" s="5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 t="s">
        <v>27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>
      <c r="A3" s="1"/>
      <c r="B3" s="1"/>
      <c r="E3" s="1"/>
      <c r="F3" s="1"/>
      <c r="G3" s="1"/>
      <c r="H3" s="1"/>
      <c r="I3" s="1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>
      <c r="A4" s="1"/>
      <c r="B4" s="1"/>
      <c r="D4" s="7" t="s">
        <v>16</v>
      </c>
      <c r="E4" s="4">
        <v>3.75</v>
      </c>
      <c r="G4" s="1"/>
      <c r="H4" s="1"/>
      <c r="I4" s="1"/>
      <c r="K4" s="1"/>
      <c r="L4" s="1"/>
      <c r="M4" s="1"/>
      <c r="N4" s="1"/>
      <c r="O4" s="1"/>
      <c r="P4" s="1"/>
      <c r="S4" s="1">
        <f>$E$4/$E$5</f>
        <v>0.75</v>
      </c>
      <c r="T4" s="8" t="s">
        <v>15</v>
      </c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>
      <c r="A5" s="1"/>
      <c r="B5" s="1"/>
      <c r="D5" s="7" t="s">
        <v>17</v>
      </c>
      <c r="E5" s="4">
        <v>5</v>
      </c>
      <c r="F5" s="10"/>
      <c r="G5" s="1"/>
      <c r="H5" s="1"/>
      <c r="J5" s="9" t="s">
        <v>38</v>
      </c>
      <c r="K5" s="1"/>
      <c r="L5" s="1"/>
      <c r="M5" s="1"/>
      <c r="N5" s="1"/>
      <c r="O5" s="1"/>
      <c r="P5" s="1"/>
      <c r="S5" s="1">
        <f>ATAN($S$4)</f>
        <v>0.6435011087932844</v>
      </c>
      <c r="T5" s="8" t="s">
        <v>7</v>
      </c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.75">
      <c r="A6" s="1"/>
      <c r="B6" s="1"/>
      <c r="D6" s="7" t="s">
        <v>18</v>
      </c>
      <c r="E6" s="4">
        <v>1.953125</v>
      </c>
      <c r="G6" s="1"/>
      <c r="H6" s="1"/>
      <c r="I6" s="1"/>
      <c r="J6" s="1"/>
      <c r="K6" s="1"/>
      <c r="L6" s="1"/>
      <c r="M6" s="1"/>
      <c r="N6" s="1"/>
      <c r="O6" s="1"/>
      <c r="P6" s="1"/>
      <c r="S6" s="1">
        <f>DEGREES($S$5)</f>
        <v>36.86989764584402</v>
      </c>
      <c r="T6" s="8" t="s">
        <v>8</v>
      </c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75">
      <c r="A7" s="1"/>
      <c r="B7" s="1"/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S7" s="1">
        <f>$E$4/($E$5+$E$6)</f>
        <v>0.5393258426966292</v>
      </c>
      <c r="T7" s="8" t="s">
        <v>1</v>
      </c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>
      <c r="A8" s="1"/>
      <c r="B8" s="1"/>
      <c r="D8" s="2" t="s">
        <v>21</v>
      </c>
      <c r="E8" s="3">
        <f>$S$6</f>
        <v>36.86989764584402</v>
      </c>
      <c r="G8" s="1"/>
      <c r="H8" s="1"/>
      <c r="I8" s="1"/>
      <c r="J8" s="1"/>
      <c r="K8" s="1"/>
      <c r="L8" s="1"/>
      <c r="M8" s="1"/>
      <c r="N8" s="1"/>
      <c r="O8" s="1"/>
      <c r="P8" s="1"/>
      <c r="S8" s="1">
        <f>ATAN($S$7)</f>
        <v>0.4946111611837871</v>
      </c>
      <c r="T8" s="8" t="s">
        <v>2</v>
      </c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.75">
      <c r="A9" s="1"/>
      <c r="B9" s="1"/>
      <c r="D9" s="2" t="s">
        <v>22</v>
      </c>
      <c r="E9" s="3">
        <f>$S$9</f>
        <v>28.33913203589589</v>
      </c>
      <c r="G9" s="1"/>
      <c r="H9" s="1"/>
      <c r="I9" s="1"/>
      <c r="J9" s="1"/>
      <c r="K9" s="1"/>
      <c r="L9" s="1"/>
      <c r="M9" s="1"/>
      <c r="N9" s="1"/>
      <c r="O9" s="1"/>
      <c r="P9" s="1"/>
      <c r="S9" s="1">
        <f>DEGREES($S$8)</f>
        <v>28.33913203589589</v>
      </c>
      <c r="T9" s="8" t="s">
        <v>3</v>
      </c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>
      <c r="A10" s="1"/>
      <c r="B10" s="1"/>
      <c r="D10" s="2" t="s">
        <v>23</v>
      </c>
      <c r="E10" s="3">
        <f>$S$11</f>
        <v>8.530765609948133</v>
      </c>
      <c r="G10" s="1"/>
      <c r="H10" s="1"/>
      <c r="I10" s="1"/>
      <c r="J10" s="1"/>
      <c r="K10" s="1"/>
      <c r="L10" s="1"/>
      <c r="M10" s="1"/>
      <c r="N10" s="1"/>
      <c r="O10" s="1"/>
      <c r="P10" s="1"/>
      <c r="S10" s="1">
        <f>$S$5-$S$8</f>
        <v>0.14888994760949725</v>
      </c>
      <c r="T10" s="8" t="s">
        <v>4</v>
      </c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>
      <c r="A11" s="1"/>
      <c r="B11" s="1"/>
      <c r="D11" s="2" t="s">
        <v>24</v>
      </c>
      <c r="E11" s="3">
        <f>$S$12</f>
        <v>6.25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S11" s="1">
        <f>DEGREES($S$10)</f>
        <v>8.530765609948133</v>
      </c>
      <c r="T11" s="8" t="s">
        <v>5</v>
      </c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>
      <c r="A12" s="1"/>
      <c r="B12" s="1"/>
      <c r="D12" s="2" t="s">
        <v>25</v>
      </c>
      <c r="E12" s="3">
        <f>$S$13</f>
        <v>6.953125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S12" s="1">
        <f>SQRT($E$4*$E$4+$E$5*$E$5)</f>
        <v>6.25</v>
      </c>
      <c r="T12" s="8" t="s">
        <v>6</v>
      </c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>
      <c r="A13" s="1"/>
      <c r="B13" s="1"/>
      <c r="D13" s="2" t="s">
        <v>20</v>
      </c>
      <c r="E13" s="3">
        <f>$S$14</f>
        <v>7.899901725061205</v>
      </c>
      <c r="G13" s="1"/>
      <c r="H13" s="1"/>
      <c r="I13" s="1"/>
      <c r="J13" s="1"/>
      <c r="K13" s="1"/>
      <c r="L13" s="1"/>
      <c r="M13" s="1"/>
      <c r="N13" s="1"/>
      <c r="O13" s="1"/>
      <c r="P13" s="1"/>
      <c r="S13" s="1">
        <f>$E$6+$E$5</f>
        <v>6.953125</v>
      </c>
      <c r="T13" s="8" t="s">
        <v>9</v>
      </c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>
      <c r="A14" s="1"/>
      <c r="B14" s="1"/>
      <c r="D14" s="2" t="s">
        <v>19</v>
      </c>
      <c r="E14" s="3">
        <f>$S$15</f>
        <v>26.627604166666664</v>
      </c>
      <c r="G14" s="1"/>
      <c r="H14" s="1"/>
      <c r="I14" s="1"/>
      <c r="J14" s="1"/>
      <c r="K14" s="1"/>
      <c r="L14" s="1"/>
      <c r="M14" s="1"/>
      <c r="N14" s="1"/>
      <c r="O14" s="1"/>
      <c r="P14" s="1"/>
      <c r="S14" s="1">
        <f>SQRT($E$4*$E$4+($S$13*$S$13))</f>
        <v>7.899901725061205</v>
      </c>
      <c r="T14" s="8" t="s">
        <v>10</v>
      </c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>
      <c r="A15" s="1"/>
      <c r="B15" s="1"/>
      <c r="D15" s="2" t="s">
        <v>33</v>
      </c>
      <c r="E15" s="3">
        <f>$S$16</f>
        <v>0.927127830814029</v>
      </c>
      <c r="G15" s="1"/>
      <c r="H15" s="1"/>
      <c r="I15" s="1"/>
      <c r="J15" s="1"/>
      <c r="K15" s="1"/>
      <c r="L15" s="1"/>
      <c r="M15" s="1"/>
      <c r="N15" s="1"/>
      <c r="O15" s="1"/>
      <c r="P15" s="1"/>
      <c r="S15" s="1">
        <f>0.5*$S$14/SIN($S$10)</f>
        <v>26.627604166666664</v>
      </c>
      <c r="T15" s="8" t="s">
        <v>11</v>
      </c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>
      <c r="A16" s="1"/>
      <c r="B16" s="1"/>
      <c r="D16" s="2" t="s">
        <v>31</v>
      </c>
      <c r="E16" s="3">
        <f>$S$17</f>
        <v>0.29459841646265095</v>
      </c>
      <c r="G16" s="1"/>
      <c r="H16" s="1"/>
      <c r="I16" s="1"/>
      <c r="J16" s="1"/>
      <c r="K16" s="1"/>
      <c r="L16" s="1"/>
      <c r="M16" s="1"/>
      <c r="N16" s="1"/>
      <c r="O16" s="1"/>
      <c r="P16" s="1"/>
      <c r="S16" s="1">
        <f>$S$12*SIN($S$10)</f>
        <v>0.927127830814029</v>
      </c>
      <c r="T16" s="8" t="s">
        <v>28</v>
      </c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>
      <c r="A17" s="1"/>
      <c r="B17" s="1"/>
      <c r="D17" s="2" t="s">
        <v>32</v>
      </c>
      <c r="E17" s="3">
        <f>$S$18</f>
        <v>7.929165178682861</v>
      </c>
      <c r="G17" s="1"/>
      <c r="H17" s="1"/>
      <c r="I17" s="1"/>
      <c r="J17" s="1"/>
      <c r="K17" s="1"/>
      <c r="L17" s="1"/>
      <c r="M17" s="1"/>
      <c r="N17" s="1"/>
      <c r="O17" s="1"/>
      <c r="P17" s="1"/>
      <c r="S17" s="1">
        <f>$S$15*(1-COS($S$10))</f>
        <v>0.29459841646265095</v>
      </c>
      <c r="T17" s="8" t="s">
        <v>29</v>
      </c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.75">
      <c r="A18" s="1"/>
      <c r="B18" s="1"/>
      <c r="G18" s="1"/>
      <c r="H18" s="1"/>
      <c r="I18" s="1"/>
      <c r="J18" s="1"/>
      <c r="K18" s="1"/>
      <c r="L18" s="1"/>
      <c r="M18" s="1"/>
      <c r="N18" s="1"/>
      <c r="O18" s="1"/>
      <c r="P18" s="1"/>
      <c r="S18" s="1">
        <f>2*$S$15*$S$10</f>
        <v>7.929165178682861</v>
      </c>
      <c r="T18" s="8" t="s">
        <v>30</v>
      </c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.75">
      <c r="A19" s="1"/>
      <c r="B19" s="1"/>
      <c r="G19" s="1"/>
      <c r="H19" s="1"/>
      <c r="I19" s="1"/>
      <c r="J19" s="1"/>
      <c r="K19" s="1"/>
      <c r="L19" s="1"/>
      <c r="M19" s="1"/>
      <c r="N19" s="1"/>
      <c r="O19" s="1"/>
      <c r="P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.75">
      <c r="A20" s="1"/>
      <c r="B20" s="1"/>
      <c r="D20" s="7" t="s">
        <v>16</v>
      </c>
      <c r="E20" s="4">
        <v>3.75</v>
      </c>
      <c r="G20" s="1"/>
      <c r="H20" s="1"/>
      <c r="I20" s="1"/>
      <c r="J20" s="1"/>
      <c r="K20" s="1"/>
      <c r="L20" s="1"/>
      <c r="M20" s="1"/>
      <c r="N20" s="1"/>
      <c r="O20" s="1"/>
      <c r="P20" s="1"/>
      <c r="S20" s="1">
        <f>$E$20/E$21</f>
        <v>0.75</v>
      </c>
      <c r="T20" s="8" t="s">
        <v>15</v>
      </c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.75">
      <c r="A21" s="1"/>
      <c r="B21" s="1"/>
      <c r="D21" s="7" t="s">
        <v>17</v>
      </c>
      <c r="E21" s="4">
        <v>5</v>
      </c>
      <c r="G21" s="1"/>
      <c r="H21" s="1"/>
      <c r="I21" s="1"/>
      <c r="J21" s="1"/>
      <c r="K21" s="1"/>
      <c r="L21" s="1"/>
      <c r="M21" s="1"/>
      <c r="N21" s="1"/>
      <c r="O21" s="1"/>
      <c r="P21" s="1"/>
      <c r="S21" s="1">
        <f>ATAN($S$20)</f>
        <v>0.6435011087932844</v>
      </c>
      <c r="T21" s="8" t="s">
        <v>7</v>
      </c>
      <c r="U21" s="8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.75">
      <c r="A22" s="1"/>
      <c r="B22" s="1"/>
      <c r="D22" s="7" t="s">
        <v>20</v>
      </c>
      <c r="E22" s="4">
        <v>7.8999107</v>
      </c>
      <c r="G22" s="1"/>
      <c r="H22" s="1"/>
      <c r="I22" s="1"/>
      <c r="J22" s="1"/>
      <c r="K22" s="1"/>
      <c r="L22" s="1"/>
      <c r="M22" s="1"/>
      <c r="N22" s="1"/>
      <c r="O22" s="1"/>
      <c r="P22" s="1"/>
      <c r="S22" s="1">
        <f>DEGREES($S$21)</f>
        <v>36.86989764584402</v>
      </c>
      <c r="T22" s="8" t="s">
        <v>8</v>
      </c>
      <c r="U22" s="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8.75">
      <c r="A23" s="1"/>
      <c r="B23" s="1"/>
      <c r="D23" s="1"/>
      <c r="E23" s="1"/>
      <c r="G23" s="1"/>
      <c r="H23" s="1"/>
      <c r="I23" s="1"/>
      <c r="J23" s="1"/>
      <c r="K23" s="2"/>
      <c r="L23" s="3"/>
      <c r="M23" s="1"/>
      <c r="N23" s="1"/>
      <c r="O23" s="1"/>
      <c r="P23" s="1"/>
      <c r="S23" s="1">
        <f>SQRT($E$20*$E$20+$E$21*$E$21)</f>
        <v>6.25</v>
      </c>
      <c r="T23" s="8" t="s">
        <v>6</v>
      </c>
      <c r="U23" s="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.75">
      <c r="A24" s="1"/>
      <c r="B24" s="1"/>
      <c r="D24" s="2" t="s">
        <v>21</v>
      </c>
      <c r="E24" s="3">
        <f>$S$22</f>
        <v>36.86989764584402</v>
      </c>
      <c r="G24" s="1"/>
      <c r="H24" s="1"/>
      <c r="I24" s="1"/>
      <c r="J24" s="1"/>
      <c r="K24" s="2"/>
      <c r="L24" s="3"/>
      <c r="M24" s="1"/>
      <c r="N24" s="1"/>
      <c r="O24" s="1"/>
      <c r="P24" s="1"/>
      <c r="S24" s="1">
        <f>ASIN($S$23*SIN($S$21)/$E$22)</f>
        <v>0.4946105484660219</v>
      </c>
      <c r="T24" s="8" t="s">
        <v>2</v>
      </c>
      <c r="U24" s="8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>
      <c r="A25" s="1"/>
      <c r="B25" s="1"/>
      <c r="D25" s="2" t="s">
        <v>22</v>
      </c>
      <c r="E25" s="3">
        <f>$S$25</f>
        <v>28.33909692975391</v>
      </c>
      <c r="G25" s="1"/>
      <c r="H25" s="1"/>
      <c r="I25" s="1"/>
      <c r="J25" s="1"/>
      <c r="K25" s="2"/>
      <c r="L25" s="3"/>
      <c r="M25" s="1"/>
      <c r="N25" s="1"/>
      <c r="O25" s="1"/>
      <c r="P25" s="1"/>
      <c r="S25" s="1">
        <f>DEGREES($S$24)</f>
        <v>28.33909692975391</v>
      </c>
      <c r="T25" s="8" t="s">
        <v>3</v>
      </c>
      <c r="U25" s="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>
      <c r="A26" s="1"/>
      <c r="B26" s="1"/>
      <c r="D26" s="2" t="s">
        <v>23</v>
      </c>
      <c r="E26" s="3">
        <f>$S$27</f>
        <v>8.530800716090111</v>
      </c>
      <c r="G26" s="1"/>
      <c r="H26" s="1"/>
      <c r="I26" s="1"/>
      <c r="J26" s="1"/>
      <c r="K26" s="2"/>
      <c r="L26" s="3"/>
      <c r="M26" s="1"/>
      <c r="N26" s="1"/>
      <c r="O26" s="1"/>
      <c r="P26" s="1"/>
      <c r="S26" s="1">
        <f>$S$21-$S$24</f>
        <v>0.14889056032726244</v>
      </c>
      <c r="T26" s="8" t="s">
        <v>4</v>
      </c>
      <c r="U26" s="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.75">
      <c r="A27" s="1"/>
      <c r="B27" s="1"/>
      <c r="D27" s="2" t="s">
        <v>24</v>
      </c>
      <c r="E27" s="3">
        <f>$S$23</f>
        <v>6.25</v>
      </c>
      <c r="G27" s="1"/>
      <c r="H27" s="1"/>
      <c r="I27" s="1"/>
      <c r="J27" s="1"/>
      <c r="K27" s="2"/>
      <c r="L27" s="3"/>
      <c r="M27" s="1"/>
      <c r="N27" s="1"/>
      <c r="O27" s="1"/>
      <c r="P27" s="1"/>
      <c r="S27" s="1">
        <f>DEGREES($S$26)</f>
        <v>8.530800716090111</v>
      </c>
      <c r="T27" s="8" t="s">
        <v>5</v>
      </c>
      <c r="U27" s="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8.75">
      <c r="A28" s="1"/>
      <c r="B28" s="1"/>
      <c r="D28" s="2" t="s">
        <v>25</v>
      </c>
      <c r="E28" s="3">
        <f>$S$28</f>
        <v>6.953135197015408</v>
      </c>
      <c r="G28" s="1"/>
      <c r="H28" s="1"/>
      <c r="I28" s="1"/>
      <c r="J28" s="1"/>
      <c r="K28" s="2"/>
      <c r="L28" s="3"/>
      <c r="M28" s="1"/>
      <c r="N28" s="1"/>
      <c r="O28" s="1"/>
      <c r="P28" s="1"/>
      <c r="S28" s="1">
        <f>$E$22*COS($S$24)</f>
        <v>6.953135197015408</v>
      </c>
      <c r="T28" s="8" t="s">
        <v>9</v>
      </c>
      <c r="U28" s="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.75">
      <c r="A29" s="1"/>
      <c r="B29" s="1"/>
      <c r="D29" s="2" t="s">
        <v>18</v>
      </c>
      <c r="E29" s="3">
        <f>$S$29</f>
        <v>1.953135197015408</v>
      </c>
      <c r="G29" s="1"/>
      <c r="H29" s="1"/>
      <c r="I29" s="1"/>
      <c r="J29" s="1"/>
      <c r="K29" s="2"/>
      <c r="L29" s="3"/>
      <c r="M29" s="1"/>
      <c r="N29" s="1"/>
      <c r="O29" s="1"/>
      <c r="P29" s="1"/>
      <c r="S29" s="1">
        <f>$E$22*SIN($S$26)/SIN($S$21)</f>
        <v>1.953135197015408</v>
      </c>
      <c r="T29" s="8" t="s">
        <v>12</v>
      </c>
      <c r="U29" s="8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8.75">
      <c r="A30" s="1"/>
      <c r="B30" s="1"/>
      <c r="D30" s="2" t="s">
        <v>19</v>
      </c>
      <c r="E30" s="3">
        <f>$S$30</f>
        <v>26.627525650102314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S30" s="1">
        <f>$E$22/(2*SIN($S$26))</f>
        <v>26.627525650102314</v>
      </c>
      <c r="T30" s="8" t="s">
        <v>11</v>
      </c>
      <c r="U30" s="8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8.75">
      <c r="A31" s="1"/>
      <c r="B31" s="1"/>
      <c r="D31" s="2" t="s">
        <v>33</v>
      </c>
      <c r="E31" s="3">
        <f>$S$31</f>
        <v>0.9271316179318052</v>
      </c>
      <c r="G31" s="1"/>
      <c r="H31" s="1"/>
      <c r="I31" s="1"/>
      <c r="J31" s="1"/>
      <c r="K31" s="1"/>
      <c r="L31" s="1"/>
      <c r="M31" s="1"/>
      <c r="N31" s="1"/>
      <c r="O31" s="1"/>
      <c r="P31" s="1"/>
      <c r="S31" s="1">
        <f>$S$23*SIN($S$26)</f>
        <v>0.9271316179318052</v>
      </c>
      <c r="T31" s="8" t="s">
        <v>28</v>
      </c>
      <c r="U31" s="8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8.75">
      <c r="A32" s="1"/>
      <c r="B32" s="1"/>
      <c r="D32" s="2" t="s">
        <v>31</v>
      </c>
      <c r="E32" s="3">
        <f>$S$32</f>
        <v>0.294599967985959</v>
      </c>
      <c r="G32" s="1"/>
      <c r="H32" s="1"/>
      <c r="I32" s="1"/>
      <c r="J32" s="1"/>
      <c r="K32" s="1"/>
      <c r="L32" s="1"/>
      <c r="M32" s="1"/>
      <c r="N32" s="1"/>
      <c r="O32" s="1"/>
      <c r="P32" s="1"/>
      <c r="S32" s="1">
        <f>$S$30*(1-COS($S$26))</f>
        <v>0.294599967985959</v>
      </c>
      <c r="T32" s="8" t="s">
        <v>29</v>
      </c>
      <c r="U32" s="8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.75">
      <c r="A33" s="1"/>
      <c r="B33" s="1"/>
      <c r="D33" s="2" t="s">
        <v>32</v>
      </c>
      <c r="E33" s="3">
        <f>$S$33</f>
        <v>7.929174428344574</v>
      </c>
      <c r="G33" s="1"/>
      <c r="H33" s="1"/>
      <c r="I33" s="1"/>
      <c r="J33" s="1"/>
      <c r="K33" s="1"/>
      <c r="L33" s="1"/>
      <c r="M33" s="1"/>
      <c r="N33" s="1"/>
      <c r="O33" s="1"/>
      <c r="P33" s="1"/>
      <c r="S33" s="1">
        <f>2*$S$30*$S$26</f>
        <v>7.929174428344574</v>
      </c>
      <c r="T33" s="8" t="s">
        <v>30</v>
      </c>
      <c r="U33" s="8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.75">
      <c r="A34" s="1"/>
      <c r="B34" s="1"/>
      <c r="G34" s="1"/>
      <c r="H34" s="1"/>
      <c r="I34" s="1"/>
      <c r="J34" s="1"/>
      <c r="K34" s="1"/>
      <c r="L34" s="1"/>
      <c r="M34" s="1"/>
      <c r="N34" s="1"/>
      <c r="O34" s="1"/>
      <c r="P34" s="1"/>
      <c r="T34" s="8"/>
      <c r="U34" s="8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.75">
      <c r="A35" s="1"/>
      <c r="B35" s="1"/>
      <c r="G35" s="1"/>
      <c r="H35" s="1"/>
      <c r="I35" s="1"/>
      <c r="J35" s="1"/>
      <c r="K35" s="1"/>
      <c r="L35" s="1"/>
      <c r="M35" s="1"/>
      <c r="N35" s="1"/>
      <c r="O35" s="1"/>
      <c r="P35" s="1"/>
      <c r="S35" s="1">
        <f>$E$36/$E$37</f>
        <v>0.75</v>
      </c>
      <c r="T35" s="8" t="s">
        <v>15</v>
      </c>
      <c r="U35" s="8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>
      <c r="A36" s="1"/>
      <c r="B36" s="1"/>
      <c r="D36" s="7" t="s">
        <v>16</v>
      </c>
      <c r="E36" s="4">
        <v>3.75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S36" s="1">
        <f>ATAN($S$35)</f>
        <v>0.6435011087932844</v>
      </c>
      <c r="T36" s="8" t="s">
        <v>7</v>
      </c>
      <c r="U36" s="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.75">
      <c r="A37" s="1"/>
      <c r="B37" s="1"/>
      <c r="D37" s="7" t="s">
        <v>17</v>
      </c>
      <c r="E37" s="4">
        <v>5</v>
      </c>
      <c r="G37" s="1"/>
      <c r="H37" s="1"/>
      <c r="I37" s="1"/>
      <c r="J37" s="1"/>
      <c r="K37" s="1"/>
      <c r="L37" s="1"/>
      <c r="M37" s="1"/>
      <c r="N37" s="1"/>
      <c r="O37" s="1"/>
      <c r="P37" s="1"/>
      <c r="S37" s="1">
        <f>DEGREES($S$36)</f>
        <v>36.86989764584402</v>
      </c>
      <c r="T37" s="8" t="s">
        <v>8</v>
      </c>
      <c r="U37" s="8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.75">
      <c r="A38" s="1"/>
      <c r="B38" s="1"/>
      <c r="D38" s="7" t="s">
        <v>19</v>
      </c>
      <c r="E38" s="4">
        <v>26.627604</v>
      </c>
      <c r="F38" s="14"/>
      <c r="G38" s="1"/>
      <c r="H38" s="1"/>
      <c r="I38" s="1"/>
      <c r="J38" s="1"/>
      <c r="K38" s="1"/>
      <c r="L38" s="1"/>
      <c r="M38" s="1"/>
      <c r="N38" s="1"/>
      <c r="O38" s="1"/>
      <c r="P38" s="1"/>
      <c r="S38" s="1">
        <f>SQRT($E$36*$E$36+$E$37*$E$37)</f>
        <v>6.25</v>
      </c>
      <c r="T38" s="8" t="s">
        <v>6</v>
      </c>
      <c r="U38" s="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8.75">
      <c r="A39" s="1"/>
      <c r="B39" s="1"/>
      <c r="D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">
        <f>0.5*PI()-$S$36</f>
        <v>0.9272952180016122</v>
      </c>
      <c r="T39" s="8" t="s">
        <v>13</v>
      </c>
      <c r="U39" s="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8.75">
      <c r="A40" s="1"/>
      <c r="B40" s="1"/>
      <c r="D40" s="2" t="s">
        <v>21</v>
      </c>
      <c r="E40" s="3">
        <f>$S$37</f>
        <v>36.86989764584402</v>
      </c>
      <c r="G40" s="1"/>
      <c r="H40" s="1"/>
      <c r="I40" s="1"/>
      <c r="J40" s="1"/>
      <c r="K40" s="1"/>
      <c r="L40" s="1"/>
      <c r="M40" s="1"/>
      <c r="N40" s="1"/>
      <c r="O40" s="1"/>
      <c r="P40" s="1"/>
      <c r="S40" s="1">
        <f>DEGREES($S$39)</f>
        <v>53.13010235415598</v>
      </c>
      <c r="T40" s="8" t="s">
        <v>14</v>
      </c>
      <c r="U40" s="8"/>
      <c r="V40" s="1"/>
      <c r="W40" s="1"/>
      <c r="X40" s="15"/>
      <c r="Z40" s="1"/>
      <c r="AA40" s="1"/>
      <c r="AB40" s="1"/>
      <c r="AC40" s="1"/>
      <c r="AD40" s="1"/>
      <c r="AE40" s="1"/>
      <c r="AF40" s="1"/>
      <c r="AG40" s="1"/>
    </row>
    <row r="41" spans="1:33" ht="18.75">
      <c r="A41" s="1"/>
      <c r="B41" s="1"/>
      <c r="C41" s="1"/>
      <c r="D41" s="2" t="s">
        <v>22</v>
      </c>
      <c r="E41" s="12">
        <f>$S$49</f>
        <v>28.339131961376633</v>
      </c>
      <c r="G41" s="1"/>
      <c r="H41" s="1"/>
      <c r="I41" s="1"/>
      <c r="J41" s="1"/>
      <c r="K41" s="1"/>
      <c r="L41" s="1"/>
      <c r="M41" s="1"/>
      <c r="N41" s="1"/>
      <c r="O41" s="1"/>
      <c r="P41" s="1"/>
      <c r="S41" s="11">
        <f>$E$38*COS($S$39)</f>
        <v>15.976562400000004</v>
      </c>
      <c r="T41" s="8" t="s">
        <v>34</v>
      </c>
      <c r="U41" s="8"/>
      <c r="V41" s="15"/>
      <c r="W41" s="1"/>
      <c r="Z41" s="1"/>
      <c r="AA41" s="1"/>
      <c r="AB41" s="1"/>
      <c r="AC41" s="1"/>
      <c r="AD41" s="1"/>
      <c r="AE41" s="1"/>
      <c r="AF41" s="1"/>
      <c r="AG41" s="1"/>
    </row>
    <row r="42" spans="1:33" ht="18.75">
      <c r="A42" s="1"/>
      <c r="B42" s="1"/>
      <c r="C42" s="1"/>
      <c r="D42" s="2" t="s">
        <v>23</v>
      </c>
      <c r="E42" s="12">
        <f>$S$51</f>
        <v>8.530765684467388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S42" s="11">
        <f>$E$38*SIN($S$39)</f>
        <v>21.3020832</v>
      </c>
      <c r="T42" s="8" t="s">
        <v>37</v>
      </c>
      <c r="U42" s="8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8.75">
      <c r="A43" s="1"/>
      <c r="B43" s="1"/>
      <c r="C43" s="1"/>
      <c r="D43" s="2" t="s">
        <v>24</v>
      </c>
      <c r="E43" s="3">
        <f>$S$38</f>
        <v>6.25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S43" s="11">
        <f>$S$42+$E$36</f>
        <v>25.0520832</v>
      </c>
      <c r="T43" s="8" t="s">
        <v>35</v>
      </c>
      <c r="U43" s="8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8.75">
      <c r="A44" s="1"/>
      <c r="B44" s="1"/>
      <c r="C44" s="1"/>
      <c r="D44" s="2" t="s">
        <v>25</v>
      </c>
      <c r="E44" s="3">
        <f>$S$46</f>
        <v>6.95312502164502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11">
        <f>SQRT($E$38*$E$38-$S$43*$S$43)</f>
        <v>9.023437378354984</v>
      </c>
      <c r="T44" s="8" t="s">
        <v>0</v>
      </c>
      <c r="U44" s="8"/>
      <c r="W44" s="1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8.75">
      <c r="A45" s="1"/>
      <c r="B45" s="1"/>
      <c r="C45" s="1"/>
      <c r="D45" s="2" t="s">
        <v>18</v>
      </c>
      <c r="E45" s="3">
        <f>$S$47</f>
        <v>1.95312502164502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1"/>
      <c r="T45" s="8"/>
      <c r="Z45" s="1"/>
      <c r="AA45" s="1"/>
      <c r="AB45" s="1"/>
      <c r="AC45" s="1"/>
      <c r="AD45" s="1"/>
      <c r="AE45" s="1"/>
      <c r="AF45" s="1"/>
      <c r="AG45" s="1"/>
    </row>
    <row r="46" spans="1:33" ht="18.75">
      <c r="A46" s="1"/>
      <c r="B46" s="1"/>
      <c r="C46" s="1"/>
      <c r="D46" s="2" t="s">
        <v>20</v>
      </c>
      <c r="E46" s="3">
        <f>$S$52</f>
        <v>7.8999017441121415</v>
      </c>
      <c r="F46" s="1"/>
      <c r="G46" s="1"/>
      <c r="H46" s="1"/>
      <c r="J46" s="1"/>
      <c r="K46" s="1"/>
      <c r="L46" s="1"/>
      <c r="M46" s="1"/>
      <c r="N46" s="1"/>
      <c r="O46" s="1"/>
      <c r="P46" s="1"/>
      <c r="S46" s="11">
        <f>ABS($S$41-$S$44)</f>
        <v>6.95312502164502</v>
      </c>
      <c r="T46" s="16" t="s">
        <v>9</v>
      </c>
      <c r="Z46" s="1"/>
      <c r="AA46" s="1"/>
      <c r="AB46" s="1"/>
      <c r="AC46" s="1"/>
      <c r="AD46" s="1"/>
      <c r="AE46" s="1"/>
      <c r="AF46" s="1"/>
      <c r="AG46" s="1"/>
    </row>
    <row r="47" spans="1:33" ht="18.75">
      <c r="A47" s="1"/>
      <c r="B47" s="1"/>
      <c r="C47" s="1"/>
      <c r="D47" s="2" t="s">
        <v>33</v>
      </c>
      <c r="E47" s="3">
        <f>$S$53</f>
        <v>0.9271278388528845</v>
      </c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1"/>
      <c r="S47" s="11">
        <f>$S$46-$E$37</f>
        <v>1.95312502164502</v>
      </c>
      <c r="T47" s="16" t="s">
        <v>12</v>
      </c>
      <c r="AA47" s="1"/>
      <c r="AB47" s="1"/>
      <c r="AC47" s="1"/>
      <c r="AD47" s="8"/>
      <c r="AE47" s="1"/>
      <c r="AF47" s="1"/>
      <c r="AG47" s="1"/>
    </row>
    <row r="48" spans="1:33" ht="18.75">
      <c r="A48" s="1"/>
      <c r="B48" s="1"/>
      <c r="C48" s="1"/>
      <c r="D48" s="2" t="s">
        <v>31</v>
      </c>
      <c r="E48" s="3">
        <f>$S$54</f>
        <v>0.2945984197560416</v>
      </c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1">
        <f>ATAN($E$36/$S$46)</f>
        <v>0.4946111598831808</v>
      </c>
      <c r="T48" s="16" t="s">
        <v>2</v>
      </c>
      <c r="U48" s="11"/>
      <c r="X48" s="1"/>
      <c r="Y48" s="8"/>
      <c r="Z48" s="1"/>
      <c r="AA48" s="1"/>
      <c r="AB48" s="1"/>
      <c r="AC48" s="1"/>
      <c r="AD48" s="8"/>
      <c r="AE48" s="1"/>
      <c r="AF48" s="1"/>
      <c r="AG48" s="1"/>
    </row>
    <row r="49" spans="1:33" ht="18.75">
      <c r="A49" s="1"/>
      <c r="B49" s="1"/>
      <c r="C49" s="1"/>
      <c r="D49" s="2" t="s">
        <v>32</v>
      </c>
      <c r="E49" s="3">
        <f>$S$55</f>
        <v>7.929165198316941</v>
      </c>
      <c r="F49" s="1"/>
      <c r="G49" s="1"/>
      <c r="H49" s="1"/>
      <c r="J49" s="1"/>
      <c r="K49" s="1"/>
      <c r="L49" s="1"/>
      <c r="M49" s="1"/>
      <c r="N49" s="1"/>
      <c r="O49" s="1"/>
      <c r="P49" s="1"/>
      <c r="Q49" s="1"/>
      <c r="R49" s="1"/>
      <c r="S49" s="11">
        <f>DEGREES($S$48)</f>
        <v>28.339131961376633</v>
      </c>
      <c r="T49" s="16" t="s">
        <v>3</v>
      </c>
      <c r="X49" s="1"/>
      <c r="Y49" s="8"/>
      <c r="AD49" s="8"/>
      <c r="AE49" s="1"/>
      <c r="AF49" s="1"/>
      <c r="AG49" s="1"/>
    </row>
    <row r="50" spans="1:33" ht="18.75">
      <c r="A50" s="1"/>
      <c r="B50" s="1"/>
      <c r="C50" s="1"/>
      <c r="D50" s="1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1">
        <f>$S$36-$S$48</f>
        <v>0.1488899489101036</v>
      </c>
      <c r="T50" s="16" t="s">
        <v>4</v>
      </c>
      <c r="Z50" s="1"/>
      <c r="AA50" s="1"/>
      <c r="AB50" s="1"/>
      <c r="AC50" s="1"/>
      <c r="AD50" s="8"/>
      <c r="AG50" s="1"/>
    </row>
    <row r="51" spans="1:33" ht="18.75">
      <c r="A51" s="1"/>
      <c r="B51" s="1"/>
      <c r="C51" s="1"/>
      <c r="D51" s="1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1">
        <f>DEGREES($S$50)</f>
        <v>8.530765684467388</v>
      </c>
      <c r="T51" s="16" t="s">
        <v>5</v>
      </c>
      <c r="X51" s="1"/>
      <c r="Y51" s="8"/>
      <c r="AD51" s="8"/>
      <c r="AG51" s="1"/>
    </row>
    <row r="52" spans="1:33" ht="18.75">
      <c r="A52" s="1"/>
      <c r="B52" s="1"/>
      <c r="C52" s="1"/>
      <c r="D52" s="1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1">
        <f>SQRT($E$36*$E$36+$S$46*$S$46)</f>
        <v>7.8999017441121415</v>
      </c>
      <c r="T52" s="16" t="s">
        <v>10</v>
      </c>
      <c r="X52" s="1"/>
      <c r="Y52" s="8"/>
      <c r="AD52" s="8"/>
      <c r="AG52" s="1"/>
    </row>
    <row r="53" spans="1:33" ht="18.75">
      <c r="A53" s="1"/>
      <c r="B53" s="1"/>
      <c r="C53" s="1"/>
      <c r="D53" s="1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1">
        <f>$S$38*SIN($S$50)</f>
        <v>0.9271278388528845</v>
      </c>
      <c r="T53" s="16" t="s">
        <v>28</v>
      </c>
      <c r="Z53" s="8"/>
      <c r="AA53" s="1"/>
      <c r="AB53" s="1"/>
      <c r="AC53" s="11"/>
      <c r="AD53" s="17"/>
      <c r="AE53" s="15"/>
      <c r="AG53" s="1"/>
    </row>
    <row r="54" spans="1:33" ht="18.75">
      <c r="A54" s="1"/>
      <c r="B54" s="1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1">
        <f>$E$38*(1-COS($S$50))</f>
        <v>0.2945984197560416</v>
      </c>
      <c r="T54" s="16" t="s">
        <v>29</v>
      </c>
      <c r="Z54" s="8"/>
      <c r="AA54" s="1"/>
      <c r="AB54" s="1"/>
      <c r="AC54" s="11"/>
      <c r="AD54" s="17"/>
      <c r="AE54" s="15"/>
      <c r="AG54" s="1"/>
    </row>
    <row r="55" spans="1:33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1">
        <f>2*$E$38*$S$50</f>
        <v>7.929165198316941</v>
      </c>
      <c r="T55" s="16" t="s">
        <v>30</v>
      </c>
      <c r="Z55" s="8"/>
      <c r="AA55" s="1"/>
      <c r="AB55" s="1"/>
      <c r="AC55" s="11"/>
      <c r="AD55" s="17"/>
      <c r="AE55" s="15"/>
      <c r="AG55" s="1"/>
    </row>
    <row r="56" spans="1:33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1">
        <f>($S$52*$S$52+4*$S$54*$S$54)/(8*$S$54)</f>
        <v>26.62760399999994</v>
      </c>
      <c r="T56" s="16" t="s">
        <v>36</v>
      </c>
      <c r="Z56" s="8"/>
      <c r="AA56" s="1"/>
      <c r="AB56" s="1"/>
      <c r="AC56" s="11"/>
      <c r="AD56" s="17"/>
      <c r="AE56" s="15"/>
      <c r="AG56" s="1"/>
    </row>
    <row r="57" spans="1:33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Z57" s="8"/>
      <c r="AA57" s="1"/>
      <c r="AB57" s="1"/>
      <c r="AC57" s="11"/>
      <c r="AD57" s="17"/>
      <c r="AE57" s="15"/>
      <c r="AG57" s="1"/>
    </row>
    <row r="58" spans="1:33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Z58" s="8"/>
      <c r="AA58" s="1"/>
      <c r="AB58" s="1"/>
      <c r="AC58" s="11"/>
      <c r="AD58" s="17"/>
      <c r="AE58" s="15"/>
      <c r="AG58" s="1"/>
    </row>
    <row r="59" spans="1:33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1"/>
      <c r="T59" s="16"/>
      <c r="Z59" s="8"/>
      <c r="AA59" s="1"/>
      <c r="AB59" s="1"/>
      <c r="AC59" s="11"/>
      <c r="AD59" s="17"/>
      <c r="AE59" s="15"/>
      <c r="AG59" s="1"/>
    </row>
    <row r="60" spans="1:33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1"/>
      <c r="T60" s="16"/>
      <c r="Z60" s="1"/>
      <c r="AA60" s="1"/>
      <c r="AB60" s="1"/>
      <c r="AC60" s="11"/>
      <c r="AD60" s="17"/>
      <c r="AE60" s="15"/>
      <c r="AG60" s="1"/>
    </row>
    <row r="61" spans="1:33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1"/>
      <c r="T61" s="16"/>
      <c r="Z61" s="1"/>
      <c r="AA61" s="1"/>
      <c r="AB61" s="1"/>
      <c r="AC61" s="11"/>
      <c r="AD61" s="17"/>
      <c r="AE61" s="15"/>
      <c r="AF61" s="1"/>
      <c r="AG61" s="1"/>
    </row>
    <row r="62" spans="1:33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1"/>
      <c r="T62" s="16"/>
      <c r="Z62" s="1"/>
      <c r="AA62" s="1"/>
      <c r="AB62" s="1"/>
      <c r="AC62" s="11"/>
      <c r="AD62" s="17"/>
      <c r="AE62" s="11"/>
      <c r="AF62" s="1"/>
      <c r="AG62" s="1"/>
    </row>
    <row r="63" spans="1:33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1"/>
      <c r="T63" s="16"/>
      <c r="Z63" s="1"/>
      <c r="AA63" s="1"/>
      <c r="AB63" s="1"/>
      <c r="AC63" s="11"/>
      <c r="AD63" s="16"/>
      <c r="AE63" s="11"/>
      <c r="AF63" s="1"/>
      <c r="AG63" s="1"/>
    </row>
    <row r="64" spans="1:33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1"/>
      <c r="T64" s="16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1"/>
      <c r="T65" s="16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8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8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8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8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8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8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8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8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8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8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8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8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8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8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8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8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8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8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8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8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8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8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8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8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8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8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8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8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8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8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8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8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8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8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8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8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8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8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8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8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8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8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8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8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8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8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8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8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8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8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8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8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8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8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8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8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8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8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8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8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8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8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8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8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8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8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8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8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8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8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8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8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8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8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8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8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8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8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8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8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8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8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8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8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8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8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8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8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8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8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8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8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8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8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8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8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8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8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8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8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8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8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8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8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8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8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8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8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8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8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8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8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8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8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8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8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8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8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8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8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8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8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8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8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8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8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8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8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8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8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8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8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8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8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8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8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8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8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8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8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8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8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8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8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8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8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8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8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8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8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8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8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8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8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8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8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8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8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8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8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8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8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8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8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8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8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8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8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8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8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8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8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8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8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8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8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8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8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8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8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8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8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8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8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8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8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8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8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8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8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8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8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8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8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8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8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8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8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8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8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8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8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8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8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8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8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8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8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8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8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8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8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8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8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8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8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8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8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8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8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8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8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8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8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8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8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8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8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8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8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8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8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8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8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8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8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8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8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8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8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8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8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8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8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8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8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8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8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8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8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8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8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8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8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8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8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8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8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8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8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8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8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8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8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8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8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8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8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8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8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8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8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8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8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8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8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8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8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8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8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8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8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8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8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8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8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8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8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8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8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8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8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8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8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8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8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8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8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8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8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8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8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8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8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8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8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8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8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8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8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8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8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8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8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8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8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8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8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8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8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8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8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8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8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8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8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8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8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8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8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8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8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8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8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8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8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8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8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8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8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8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8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8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8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8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8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8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8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8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8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8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8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8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8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8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8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8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8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8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8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8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8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8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8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8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8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8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8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8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8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8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8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8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8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8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8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8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8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8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8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8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8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8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8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8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8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8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8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8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8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8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8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8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8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8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8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8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8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8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8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8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8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8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8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8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8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8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8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8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8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8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8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8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8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8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8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8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8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8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8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8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8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8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8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8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8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8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8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8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8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8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8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8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8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8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8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8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8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8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8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8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8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8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8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8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8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8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8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8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8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8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8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8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8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8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8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8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8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8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8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8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8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8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8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8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8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8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8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8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8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8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8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8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8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8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8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8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8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8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8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8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8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8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8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8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8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8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8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8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8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8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8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8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8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8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8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8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8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8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8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8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8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8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8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8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8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8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8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8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8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8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8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8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8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8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8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8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8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8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8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8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8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8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8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8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8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8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8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8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8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8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8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8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8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8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8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8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8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8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8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8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8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8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8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8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8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8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8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8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8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8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8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8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8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8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8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8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8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8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8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8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8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8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8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8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8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8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8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8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8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8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8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8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8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8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8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8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8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8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8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8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8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8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8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8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8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8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8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8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8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8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8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8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8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8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8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8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8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8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8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8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8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8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8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8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8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8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8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8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8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8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8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8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8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8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8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8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8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8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8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8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8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8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8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8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8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8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8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8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8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8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8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8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8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8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8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8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8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8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8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8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8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8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8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8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8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8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8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8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8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8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8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8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8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8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8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8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8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8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8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8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1:33" ht="18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1:33" ht="18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1:33" ht="18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1:33" ht="18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1:33" ht="18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1:33" ht="18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1:33" ht="18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1:33" ht="18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1:33" ht="18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</row>
    <row r="1057" spans="1:33" ht="18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1:33" ht="18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1:33" ht="18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1:33" ht="18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1:33" ht="18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1:33" ht="18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1:33" ht="18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1:33" ht="18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</row>
    <row r="1065" spans="1:33" ht="18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</row>
    <row r="1066" spans="1:33" ht="18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1:33" ht="18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1:33" ht="18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1:33" ht="18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</row>
    <row r="1070" spans="1:33" ht="18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1:33" ht="18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</row>
    <row r="1072" spans="1:33" ht="18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</row>
    <row r="1073" spans="1:33" ht="18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1:33" ht="18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1:33" ht="18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</row>
    <row r="1076" spans="1:33" ht="18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</row>
    <row r="1077" spans="1:33" ht="18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1:33" ht="18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</row>
    <row r="1079" spans="1:33" ht="18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</row>
    <row r="1080" spans="1:33" ht="18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</row>
    <row r="1081" spans="1:33" ht="18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</row>
    <row r="1082" spans="1:33" ht="18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</row>
    <row r="1083" spans="1:33" ht="18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</row>
    <row r="1084" spans="1:33" ht="18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</row>
    <row r="1085" spans="1:33" ht="18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1:33" ht="18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</row>
    <row r="1087" spans="1:33" ht="18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</row>
    <row r="1088" spans="1:33" ht="18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1:33" ht="18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</row>
    <row r="1090" spans="1:33" ht="18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</row>
    <row r="1091" spans="1:33" ht="18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1:33" ht="18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1:33" ht="18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1:33" ht="18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1:33" ht="18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1:33" ht="18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</row>
    <row r="1097" spans="1:33" ht="18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</row>
    <row r="1098" spans="1:33" ht="18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1:33" ht="18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1:33" ht="18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</row>
    <row r="1101" spans="1:33" ht="18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</row>
    <row r="1102" spans="1:33" ht="18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1:33" ht="18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1:33" ht="18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</row>
    <row r="1105" spans="1:33" ht="18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</row>
    <row r="1106" spans="1:33" ht="18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</row>
    <row r="1107" spans="1:33" ht="18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</row>
    <row r="1108" spans="1:33" ht="18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</row>
    <row r="1109" spans="1:33" ht="18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</row>
    <row r="1110" spans="1:33" ht="18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1:33" ht="18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</row>
    <row r="1112" spans="1:33" ht="18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</row>
  </sheetData>
  <sheetProtection password="F06A" sheet="1" objects="1" scenarios="1"/>
  <conditionalFormatting sqref="E8:E17">
    <cfRule type="expression" priority="1" dxfId="0" stopIfTrue="1">
      <formula>$E$6&gt;$S$12</formula>
    </cfRule>
  </conditionalFormatting>
  <conditionalFormatting sqref="E24:E33">
    <cfRule type="expression" priority="2" dxfId="0" stopIfTrue="1">
      <formula>$S$29&gt;$S$23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Arc tangent to Rafter</dc:title>
  <dc:subject>Applied Construction Mathematics</dc:subject>
  <dc:creator>Joe Bartok</dc:creator>
  <cp:keywords/>
  <dc:description>Analysis of properties of circular arcs tangent to rafters.</dc:description>
  <cp:lastModifiedBy>Joe</cp:lastModifiedBy>
  <dcterms:created xsi:type="dcterms:W3CDTF">2006-09-21T18:40:37Z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