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45" windowWidth="11340" windowHeight="6285" tabRatio="745" activeTab="0"/>
  </bookViews>
  <sheets>
    <sheet name="1º Bim 1" sheetId="1" r:id="rId1"/>
    <sheet name="2º Bim 1" sheetId="2" r:id="rId2"/>
    <sheet name="3º Bim 1" sheetId="3" r:id="rId3"/>
    <sheet name="4º Bim 1" sheetId="4" r:id="rId4"/>
    <sheet name="Fechamento 1" sheetId="5" r:id="rId5"/>
    <sheet name="Menu" sheetId="6" r:id="rId6"/>
    <sheet name="Alunos" sheetId="7" r:id="rId7"/>
  </sheets>
  <definedNames>
    <definedName name="_xlnm.Print_Area" localSheetId="0">'1º Bim 1'!$A$1:$M$66</definedName>
    <definedName name="_xlnm.Print_Area" localSheetId="1">'2º Bim 1'!$A$1:$K$58</definedName>
    <definedName name="_xlnm.Print_Area" localSheetId="2">'3º Bim 1'!$A$1:$K$58</definedName>
    <definedName name="_xlnm.Print_Area" localSheetId="3">'4º Bim 1'!$A$1:$M$81</definedName>
  </definedNames>
  <calcPr fullCalcOnLoad="1"/>
</workbook>
</file>

<file path=xl/comments6.xml><?xml version="1.0" encoding="utf-8"?>
<comments xmlns="http://schemas.openxmlformats.org/spreadsheetml/2006/main">
  <authors>
    <author>..</author>
  </authors>
  <commentList>
    <comment ref="E13" authorId="0">
      <text>
        <r>
          <rPr>
            <b/>
            <sz val="8"/>
            <rFont val="Tahoma"/>
            <family val="0"/>
          </rPr>
          <t>..:AJUDA?</t>
        </r>
        <r>
          <rPr>
            <sz val="8"/>
            <rFont val="Tahoma"/>
            <family val="0"/>
          </rPr>
          <t xml:space="preserve">
Tecle (ENTER) após digitar a disciplina 1 e clique no Bimestre correspondente ao lado para lançar as notas.</t>
        </r>
      </text>
    </comment>
  </commentList>
</comments>
</file>

<file path=xl/sharedStrings.xml><?xml version="1.0" encoding="utf-8"?>
<sst xmlns="http://schemas.openxmlformats.org/spreadsheetml/2006/main" count="448" uniqueCount="206">
  <si>
    <t>QUADRO DE NOTAS</t>
  </si>
  <si>
    <t>BIMESTRE</t>
  </si>
  <si>
    <t>CURSO:</t>
  </si>
  <si>
    <t>PROFESSOR:</t>
  </si>
  <si>
    <t>Data/Hora</t>
  </si>
  <si>
    <t>TURMA:</t>
  </si>
  <si>
    <t>DISCIPLINA:</t>
  </si>
  <si>
    <t>Carga Horária:</t>
  </si>
  <si>
    <t>Horas Dadas:</t>
  </si>
  <si>
    <t xml:space="preserve">Nº </t>
  </si>
  <si>
    <t>NOME</t>
  </si>
  <si>
    <t>QTDE FALTAS</t>
  </si>
  <si>
    <t>Data</t>
  </si>
  <si>
    <t>TOTAL BIMESTRAL</t>
  </si>
  <si>
    <t>SITUAÇÃO BIMESTRAL</t>
  </si>
  <si>
    <t>VALOR</t>
  </si>
  <si>
    <t>Média de Aprovação</t>
  </si>
  <si>
    <t>Alunos Com Média</t>
  </si>
  <si>
    <t>Alunos sem Média</t>
  </si>
  <si>
    <t>Total de Alunos</t>
  </si>
  <si>
    <t>2º</t>
  </si>
  <si>
    <t>3º</t>
  </si>
  <si>
    <t>4º</t>
  </si>
  <si>
    <t>Observação ao Campo Abaixo</t>
  </si>
  <si>
    <t>Data da Prova Especial</t>
  </si>
  <si>
    <t>SOMA DOS 4 BIMESTRES</t>
  </si>
  <si>
    <t>SITUAÇÃO FINAL</t>
  </si>
  <si>
    <t>Nº</t>
  </si>
  <si>
    <t>1º 
Bimestre</t>
  </si>
  <si>
    <t>2º 
Bimestre</t>
  </si>
  <si>
    <t>3º 
Bimestre</t>
  </si>
  <si>
    <t>4º 
Bimestre</t>
  </si>
  <si>
    <t>Prova
Especial</t>
  </si>
  <si>
    <t>SITUAÇÃO</t>
  </si>
  <si>
    <t>Vr. Nota</t>
  </si>
  <si>
    <t>Média</t>
  </si>
  <si>
    <t>Vr Pr. Especial</t>
  </si>
  <si>
    <t>Média Pr. Especial</t>
  </si>
  <si>
    <t>Vr. Obtido</t>
  </si>
  <si>
    <t>Nota total</t>
  </si>
  <si>
    <t>Resultado</t>
  </si>
  <si>
    <t>QUADRO INFORMATIVO DE NOTAS</t>
  </si>
  <si>
    <t>Fechamento do Ano</t>
  </si>
  <si>
    <t>1º Bimestre</t>
  </si>
  <si>
    <t>2º Bimestre</t>
  </si>
  <si>
    <t>3º Bimestre</t>
  </si>
  <si>
    <t>4º Bimestre</t>
  </si>
  <si>
    <t>Total Notas/Faltas</t>
  </si>
  <si>
    <t>Curso:</t>
  </si>
  <si>
    <t>Turma:</t>
  </si>
  <si>
    <t>Seja Bem Vindo...</t>
  </si>
  <si>
    <t>Professor(a)...</t>
  </si>
  <si>
    <t>Versão 2.0</t>
  </si>
  <si>
    <t>Entre com os dados nos campos e clique nos Bimestres correspondentes para fazer os lançamento das notas.</t>
  </si>
  <si>
    <t>Curso de:</t>
  </si>
  <si>
    <t>DESCRIÇÃO DAS AVALIAÇÕES</t>
  </si>
  <si>
    <t>DESSCRIÇÃO DAS AVALIAÇÕES</t>
  </si>
  <si>
    <t>ADMINISTRAÇÃO</t>
  </si>
  <si>
    <t>ADM41</t>
  </si>
  <si>
    <t>AELHIUS D. ALVES PIMENTA DE OLIVEIRA</t>
  </si>
  <si>
    <t>AGNALDO DE SOUZA LANDIM JÚNIOR</t>
  </si>
  <si>
    <t>ALDREEN CALABRIA SOARES SANTOS</t>
  </si>
  <si>
    <t>ARIANE SANTOS MELO</t>
  </si>
  <si>
    <t>CAROLINA CALDAS RABELO</t>
  </si>
  <si>
    <t>CRISTIANE SANTOS DA SILVA</t>
  </si>
  <si>
    <t>DANIEL ROCHA TORRES SILVA</t>
  </si>
  <si>
    <t>DANIELE FERREIRA MARTINS</t>
  </si>
  <si>
    <t>DANÚBIA APARECIDA ANTÔNIO OLIVEIRA</t>
  </si>
  <si>
    <t>DÊNIS MARTINS DA COSTA</t>
  </si>
  <si>
    <t>EDSON ALVES DE ALMEIDA</t>
  </si>
  <si>
    <t>ELIZIANE FERNANDES DE LIMA</t>
  </si>
  <si>
    <t>FABIANO ALVES TEIXEIRA</t>
  </si>
  <si>
    <t>FERNANDO LOPES DA SILVA</t>
  </si>
  <si>
    <t>FLÁVIA MENESES SOARES</t>
  </si>
  <si>
    <t>FLÁVIO LOPES BATISTA</t>
  </si>
  <si>
    <t>GABRIELLA ARAGÃO SANTOS</t>
  </si>
  <si>
    <t>GEIZA MARIA SANTIAGO ANDRADE</t>
  </si>
  <si>
    <t>GILDA CANDIDA GOMES</t>
  </si>
  <si>
    <t>GLEUTON SOUSA COSTA</t>
  </si>
  <si>
    <t>HERBERT ARAÚJO CALDAS</t>
  </si>
  <si>
    <t>JADER CORREIA DE OLIVEIRA</t>
  </si>
  <si>
    <t>JAMILLE ARAÚJO PAIXÃO</t>
  </si>
  <si>
    <t>JANAÍNA FERREIRA ROCHA</t>
  </si>
  <si>
    <t>JAQUELINE ANTÔNIO DA SILVA</t>
  </si>
  <si>
    <t>JESUALDO ALVES AVELAR</t>
  </si>
  <si>
    <t>JOSIELLE NEIVA COSTA</t>
  </si>
  <si>
    <t>JOSÉ LUIZ NOGUEIRA</t>
  </si>
  <si>
    <t>JOÃO PAULO</t>
  </si>
  <si>
    <t>NILO MUNIZ DA SILVA JUNIOR</t>
  </si>
  <si>
    <t>RONIVAN MONTEIRO RESENDE</t>
  </si>
  <si>
    <t>SHADIA ROCHA DE OLIVEIRA</t>
  </si>
  <si>
    <t>TIAGO REMÍGIO CONDÉ</t>
  </si>
  <si>
    <t>VIVIANA VARGAS FARIA</t>
  </si>
  <si>
    <t>WALTER GONCALVES DOS SANTOS</t>
  </si>
  <si>
    <t>DEIBSON GONÇALVES RIBEIRO</t>
  </si>
  <si>
    <t>RONALDO MATEUS BARBOSA</t>
  </si>
  <si>
    <t>Quadro de Alunos do Curso de ADMINISTRAÇÃO</t>
  </si>
  <si>
    <t>Wesley Antonio Gonçalves</t>
  </si>
  <si>
    <t>Wesley Antônio Gonçalves</t>
  </si>
  <si>
    <t xml:space="preserve"> Disciplina :</t>
  </si>
  <si>
    <t>Trabalho</t>
  </si>
  <si>
    <t>JOSE ORIBES</t>
  </si>
  <si>
    <t xml:space="preserve">semana de </t>
  </si>
  <si>
    <t>s/ pesquisa</t>
  </si>
  <si>
    <t xml:space="preserve">   eventos</t>
  </si>
  <si>
    <t>C/ pesquisa</t>
  </si>
  <si>
    <t>c/pesquisa</t>
  </si>
  <si>
    <t>Prova</t>
  </si>
  <si>
    <t>Bimestral</t>
  </si>
  <si>
    <t>c/ pesquisa</t>
  </si>
  <si>
    <t>trabalho no</t>
  </si>
  <si>
    <t>Lab Infor.</t>
  </si>
  <si>
    <t xml:space="preserve">trabalho </t>
  </si>
  <si>
    <t>emp. Rede</t>
  </si>
  <si>
    <t>debate</t>
  </si>
  <si>
    <t>trabalho</t>
  </si>
  <si>
    <t>em sala</t>
  </si>
  <si>
    <t>Ger.Com tec</t>
  </si>
  <si>
    <t>Sistemas de Informação Gerencial</t>
  </si>
  <si>
    <t>ADM de Agronegocio</t>
  </si>
  <si>
    <t>A na Carolina das Neves</t>
  </si>
  <si>
    <t>Ana Laura da Silva</t>
  </si>
  <si>
    <t>Claiton Divino da Silva  Lima</t>
  </si>
  <si>
    <t>Edemir Renato Freitag</t>
  </si>
  <si>
    <t>Eder de Paiva Resende</t>
  </si>
  <si>
    <t>Eliane Rodrigues de Queiroz Beal</t>
  </si>
  <si>
    <t>Elidiane José Pereira Lepesquer</t>
  </si>
  <si>
    <t>Elisa Maria Flores Cazarotto</t>
  </si>
  <si>
    <t>Fernando Silva Sousa</t>
  </si>
  <si>
    <t>Hebert Moreira</t>
  </si>
  <si>
    <t>Heleno Felipe Pereira</t>
  </si>
  <si>
    <t>Igor Mayane Justino</t>
  </si>
  <si>
    <t>Ismael Messias Caetano Júnior</t>
  </si>
  <si>
    <t>Jalisson dos Santos Oliveira</t>
  </si>
  <si>
    <t>Joyce Marques Borges</t>
  </si>
  <si>
    <t>Jucilei Silva de Assis</t>
  </si>
  <si>
    <t>Kátia Maria Paiva</t>
  </si>
  <si>
    <t>Kelly Moreira da Silva</t>
  </si>
  <si>
    <t>Leonardo Pereira Mota</t>
  </si>
  <si>
    <t>Luciete Mendes Silva Braga</t>
  </si>
  <si>
    <t>Maicom de Lima Borges</t>
  </si>
  <si>
    <t>Mara Rúbia Camilo de Azevedo</t>
  </si>
  <si>
    <t>Márcia Fernandes Benatti da Silva</t>
  </si>
  <si>
    <t>Marcos César Amador</t>
  </si>
  <si>
    <t>Marisa Aparecida Fortes</t>
  </si>
  <si>
    <t>Marta Helena Santin</t>
  </si>
  <si>
    <t>Onezio de Souza Rodrigues</t>
  </si>
  <si>
    <t>Pamela Corpes Rodrigues</t>
  </si>
  <si>
    <t>Paulo Henrique Prezzotto</t>
  </si>
  <si>
    <t>Rodrigo Brandão</t>
  </si>
  <si>
    <t>Rony Clai da Silva Lima</t>
  </si>
  <si>
    <t>Silvia Cristiane Pagel</t>
  </si>
  <si>
    <t>Sirleide Divina Gonçalves Aragão Cherubim</t>
  </si>
  <si>
    <t>Thiago Ribeiro Passos</t>
  </si>
  <si>
    <t>Victor Resende Neiva Lima</t>
  </si>
  <si>
    <t>Viviane Maria de Assis Martins</t>
  </si>
  <si>
    <t>00-607</t>
  </si>
  <si>
    <t>00-471</t>
  </si>
  <si>
    <t>00-566</t>
  </si>
  <si>
    <t>00-641</t>
  </si>
  <si>
    <t>00-578</t>
  </si>
  <si>
    <t>00-589</t>
  </si>
  <si>
    <t>00-674</t>
  </si>
  <si>
    <t>00-617</t>
  </si>
  <si>
    <t>00-499</t>
  </si>
  <si>
    <t>00-539</t>
  </si>
  <si>
    <t>00-534</t>
  </si>
  <si>
    <t>00-481</t>
  </si>
  <si>
    <t>00-586</t>
  </si>
  <si>
    <t>00-522</t>
  </si>
  <si>
    <t>00-549</t>
  </si>
  <si>
    <t>00-484</t>
  </si>
  <si>
    <t>00-675</t>
  </si>
  <si>
    <t>00-540</t>
  </si>
  <si>
    <t>00-473</t>
  </si>
  <si>
    <t>00-524</t>
  </si>
  <si>
    <t>00-553</t>
  </si>
  <si>
    <t>00-482</t>
  </si>
  <si>
    <t>00-614</t>
  </si>
  <si>
    <t>00-526</t>
  </si>
  <si>
    <t>00-527</t>
  </si>
  <si>
    <t>00-483</t>
  </si>
  <si>
    <t>00-470</t>
  </si>
  <si>
    <t>00-572</t>
  </si>
  <si>
    <t>00-543</t>
  </si>
  <si>
    <t>00-573</t>
  </si>
  <si>
    <t>00-512</t>
  </si>
  <si>
    <t>00-561</t>
  </si>
  <si>
    <t>00-583</t>
  </si>
  <si>
    <t>00-576</t>
  </si>
  <si>
    <t>00-593</t>
  </si>
  <si>
    <t>ADM4</t>
  </si>
  <si>
    <t>ADM3</t>
  </si>
  <si>
    <t>ADM2</t>
  </si>
  <si>
    <t>ADM1</t>
  </si>
  <si>
    <t>Sistemas de Informações Gerenciais</t>
  </si>
  <si>
    <t>4º ano</t>
  </si>
  <si>
    <t>Prova 2</t>
  </si>
  <si>
    <t>Prova 1</t>
  </si>
  <si>
    <t>Sirleide Divina G. Aragão Cherubim</t>
  </si>
  <si>
    <t>Alunos Aprovados</t>
  </si>
  <si>
    <t>Alunos Reprovados</t>
  </si>
  <si>
    <t xml:space="preserve">TOTAL </t>
  </si>
  <si>
    <t>Aprovados</t>
  </si>
  <si>
    <t>Legenda do grafico</t>
  </si>
  <si>
    <t>Prova final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</si>
</sst>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 \ mmmm\,\ yyyy"/>
    <numFmt numFmtId="171" formatCode="0.000"/>
    <numFmt numFmtId="172" formatCode="0.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mmm/yyyy"/>
    <numFmt numFmtId="177" formatCode="_(* #,##0.0_);_(* \(#,##0.0\);_(* &quot;-&quot;??_);_(@_)"/>
    <numFmt numFmtId="178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9"/>
      <color indexed="6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3"/>
      <name val="Arial"/>
      <family val="2"/>
    </font>
    <font>
      <b/>
      <i/>
      <sz val="12"/>
      <color indexed="15"/>
      <name val="Arial"/>
      <family val="2"/>
    </font>
    <font>
      <b/>
      <i/>
      <sz val="12"/>
      <color indexed="13"/>
      <name val="Arial"/>
      <family val="2"/>
    </font>
    <font>
      <b/>
      <sz val="10"/>
      <color indexed="9"/>
      <name val="Arial"/>
      <family val="2"/>
    </font>
    <font>
      <b/>
      <i/>
      <sz val="16"/>
      <color indexed="40"/>
      <name val="Arial"/>
      <family val="2"/>
    </font>
    <font>
      <sz val="7"/>
      <name val="Arial"/>
      <family val="2"/>
    </font>
    <font>
      <b/>
      <sz val="9.25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8.7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16"/>
      <color indexed="13"/>
      <name val="Arial"/>
      <family val="2"/>
    </font>
    <font>
      <b/>
      <sz val="14"/>
      <color indexed="40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6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14" fontId="4" fillId="2" borderId="4" xfId="0" applyNumberFormat="1" applyFont="1" applyFill="1" applyBorder="1" applyAlignment="1" applyProtection="1">
      <alignment horizontal="center"/>
      <protection hidden="1" locked="0"/>
    </xf>
    <xf numFmtId="0" fontId="4" fillId="2" borderId="5" xfId="0" applyFont="1" applyFill="1" applyBorder="1" applyAlignment="1" applyProtection="1">
      <alignment horizontal="center"/>
      <protection hidden="1"/>
    </xf>
    <xf numFmtId="2" fontId="7" fillId="2" borderId="4" xfId="0" applyNumberFormat="1" applyFont="1" applyFill="1" applyBorder="1" applyAlignment="1" applyProtection="1">
      <alignment/>
      <protection hidden="1" locked="0"/>
    </xf>
    <xf numFmtId="2" fontId="8" fillId="2" borderId="4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/>
      <protection hidden="1" locked="0"/>
    </xf>
    <xf numFmtId="2" fontId="9" fillId="0" borderId="8" xfId="0" applyNumberFormat="1" applyFont="1" applyBorder="1" applyAlignment="1" applyProtection="1">
      <alignment/>
      <protection hidden="1" locked="0"/>
    </xf>
    <xf numFmtId="2" fontId="7" fillId="0" borderId="8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2" fontId="9" fillId="0" borderId="6" xfId="0" applyNumberFormat="1" applyFont="1" applyBorder="1" applyAlignment="1" applyProtection="1">
      <alignment/>
      <protection hidden="1" locked="0"/>
    </xf>
    <xf numFmtId="2" fontId="7" fillId="0" borderId="6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 horizontal="left"/>
      <protection hidden="1"/>
    </xf>
    <xf numFmtId="0" fontId="14" fillId="0" borderId="7" xfId="0" applyFont="1" applyBorder="1" applyAlignment="1" applyProtection="1">
      <alignment horizontal="left"/>
      <protection hidden="1"/>
    </xf>
    <xf numFmtId="2" fontId="6" fillId="0" borderId="6" xfId="0" applyNumberFormat="1" applyFont="1" applyBorder="1" applyAlignment="1" applyProtection="1">
      <alignment/>
      <protection hidden="1"/>
    </xf>
    <xf numFmtId="2" fontId="7" fillId="2" borderId="4" xfId="0" applyNumberFormat="1" applyFont="1" applyFill="1" applyBorder="1" applyAlignment="1" applyProtection="1">
      <alignment/>
      <protection hidden="1"/>
    </xf>
    <xf numFmtId="2" fontId="9" fillId="0" borderId="8" xfId="0" applyNumberFormat="1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0" fillId="4" borderId="0" xfId="0" applyFill="1" applyAlignment="1">
      <alignment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21" fillId="3" borderId="9" xfId="15" applyFont="1" applyFill="1" applyBorder="1" applyAlignment="1">
      <alignment horizontal="center" vertical="center"/>
    </xf>
    <xf numFmtId="0" fontId="22" fillId="3" borderId="9" xfId="15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24" fillId="3" borderId="0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25" fillId="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27" fillId="0" borderId="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17" fillId="3" borderId="0" xfId="0" applyFont="1" applyFill="1" applyAlignment="1" applyProtection="1">
      <alignment horizontal="center" vertical="center"/>
      <protection hidden="1"/>
    </xf>
    <xf numFmtId="0" fontId="35" fillId="6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4" fillId="0" borderId="1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7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22" fontId="4" fillId="0" borderId="0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14" fontId="4" fillId="0" borderId="4" xfId="0" applyNumberFormat="1" applyFont="1" applyFill="1" applyBorder="1" applyAlignment="1" applyProtection="1">
      <alignment horizontal="center"/>
      <protection hidden="1" locked="0"/>
    </xf>
    <xf numFmtId="2" fontId="7" fillId="0" borderId="4" xfId="0" applyNumberFormat="1" applyFont="1" applyFill="1" applyBorder="1" applyAlignment="1" applyProtection="1">
      <alignment/>
      <protection hidden="1" locked="0"/>
    </xf>
    <xf numFmtId="170" fontId="11" fillId="0" borderId="0" xfId="0" applyNumberFormat="1" applyFont="1" applyBorder="1" applyAlignment="1" applyProtection="1">
      <alignment horizontal="center"/>
      <protection hidden="1"/>
    </xf>
    <xf numFmtId="0" fontId="14" fillId="0" borderId="6" xfId="0" applyFont="1" applyBorder="1" applyAlignment="1">
      <alignment/>
    </xf>
    <xf numFmtId="0" fontId="14" fillId="0" borderId="3" xfId="0" applyFont="1" applyBorder="1" applyAlignment="1" applyProtection="1">
      <alignment horizontal="left"/>
      <protection hidden="1"/>
    </xf>
    <xf numFmtId="0" fontId="14" fillId="0" borderId="11" xfId="0" applyFont="1" applyBorder="1" applyAlignment="1">
      <alignment/>
    </xf>
    <xf numFmtId="0" fontId="14" fillId="0" borderId="2" xfId="0" applyFont="1" applyBorder="1" applyAlignment="1" applyProtection="1">
      <alignment horizontal="left"/>
      <protection hidden="1"/>
    </xf>
    <xf numFmtId="0" fontId="14" fillId="0" borderId="5" xfId="0" applyFont="1" applyBorder="1" applyAlignment="1" applyProtection="1">
      <alignment horizontal="left"/>
      <protection hidden="1"/>
    </xf>
    <xf numFmtId="0" fontId="14" fillId="0" borderId="8" xfId="0" applyFont="1" applyBorder="1" applyAlignment="1" applyProtection="1">
      <alignment horizontal="left"/>
      <protection hidden="1"/>
    </xf>
    <xf numFmtId="0" fontId="14" fillId="0" borderId="7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6" fillId="0" borderId="6" xfId="0" applyFont="1" applyFill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/>
    </xf>
    <xf numFmtId="0" fontId="14" fillId="0" borderId="7" xfId="0" applyFont="1" applyBorder="1" applyAlignment="1">
      <alignment/>
    </xf>
    <xf numFmtId="0" fontId="39" fillId="0" borderId="6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14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4" fillId="0" borderId="7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4" fillId="0" borderId="8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2" fontId="7" fillId="5" borderId="4" xfId="0" applyNumberFormat="1" applyFont="1" applyFill="1" applyBorder="1" applyAlignment="1" applyProtection="1">
      <alignment/>
      <protection hidden="1" locked="0"/>
    </xf>
    <xf numFmtId="2" fontId="6" fillId="5" borderId="6" xfId="0" applyNumberFormat="1" applyFont="1" applyFill="1" applyBorder="1" applyAlignment="1" applyProtection="1">
      <alignment/>
      <protection locked="0"/>
    </xf>
    <xf numFmtId="0" fontId="40" fillId="0" borderId="6" xfId="0" applyFont="1" applyBorder="1" applyAlignment="1">
      <alignment/>
    </xf>
    <xf numFmtId="0" fontId="41" fillId="0" borderId="6" xfId="0" applyFont="1" applyFill="1" applyBorder="1" applyAlignment="1">
      <alignment/>
    </xf>
    <xf numFmtId="0" fontId="41" fillId="0" borderId="6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0" fillId="0" borderId="6" xfId="0" applyFont="1" applyBorder="1" applyAlignment="1">
      <alignment horizontal="justify" vertical="top" wrapText="1"/>
    </xf>
    <xf numFmtId="0" fontId="13" fillId="7" borderId="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22" fontId="4" fillId="0" borderId="6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7" borderId="6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5" fillId="7" borderId="20" xfId="0" applyFont="1" applyFill="1" applyBorder="1" applyAlignment="1" applyProtection="1">
      <alignment horizontal="center"/>
      <protection hidden="1"/>
    </xf>
    <xf numFmtId="170" fontId="11" fillId="0" borderId="21" xfId="0" applyNumberFormat="1" applyFont="1" applyBorder="1" applyAlignment="1" applyProtection="1">
      <alignment horizontal="center"/>
      <protection hidden="1"/>
    </xf>
    <xf numFmtId="170" fontId="11" fillId="0" borderId="22" xfId="0" applyNumberFormat="1" applyFont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wrapText="1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 locked="0"/>
    </xf>
    <xf numFmtId="0" fontId="36" fillId="3" borderId="0" xfId="0" applyFont="1" applyFill="1" applyAlignment="1">
      <alignment horizontal="center"/>
    </xf>
    <xf numFmtId="49" fontId="38" fillId="3" borderId="0" xfId="0" applyNumberFormat="1" applyFont="1" applyFill="1" applyBorder="1" applyAlignment="1">
      <alignment horizontal="center"/>
    </xf>
    <xf numFmtId="49" fontId="3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17" fillId="6" borderId="0" xfId="0" applyFont="1" applyFill="1" applyAlignment="1" applyProtection="1">
      <alignment horizontal="center" vertical="center"/>
      <protection hidden="1" locked="0"/>
    </xf>
    <xf numFmtId="0" fontId="20" fillId="8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5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FF00"/>
      </font>
      <fill>
        <patternFill>
          <bgColor rgb="FF800000"/>
        </patternFill>
      </fill>
      <border/>
    </dxf>
    <dxf>
      <font>
        <color rgb="FF8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Média de Aprovação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29"/>
          <c:w val="0.75725"/>
          <c:h val="0.59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'1º Bim 1'!$E$55:$E$56</c:f>
              <c:numCache>
                <c:ptCount val="2"/>
                <c:pt idx="0">
                  <c:v>28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Média de Aprovação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308"/>
          <c:w val="0.75725"/>
          <c:h val="0.5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'2º Bim 1'!$E$50:$E$51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Média de Aprovação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307"/>
          <c:w val="0.7015"/>
          <c:h val="0.56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'3º Bim 1'!$E$50:$E$51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Média de Aprovação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307"/>
          <c:w val="0.695"/>
          <c:h val="0.57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'4º Bim 1'!$E$73:$E$74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Alunos!A1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114300</xdr:rowOff>
    </xdr:from>
    <xdr:to>
      <xdr:col>7</xdr:col>
      <xdr:colOff>609600</xdr:colOff>
      <xdr:row>1</xdr:row>
      <xdr:rowOff>133350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5000625" y="11430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Ret Menu</a:t>
          </a:r>
        </a:p>
      </xdr:txBody>
    </xdr:sp>
    <xdr:clientData/>
  </xdr:twoCellAnchor>
  <xdr:twoCellAnchor>
    <xdr:from>
      <xdr:col>5</xdr:col>
      <xdr:colOff>257175</xdr:colOff>
      <xdr:row>52</xdr:row>
      <xdr:rowOff>38100</xdr:rowOff>
    </xdr:from>
    <xdr:to>
      <xdr:col>11</xdr:col>
      <xdr:colOff>514350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4191000" y="8401050"/>
        <a:ext cx="40290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371475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0</xdr:row>
      <xdr:rowOff>114300</xdr:rowOff>
    </xdr:from>
    <xdr:to>
      <xdr:col>7</xdr:col>
      <xdr:colOff>609600</xdr:colOff>
      <xdr:row>1</xdr:row>
      <xdr:rowOff>133350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5000625" y="11430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Ret Menu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9</xdr:col>
      <xdr:colOff>609600</xdr:colOff>
      <xdr:row>56</xdr:row>
      <xdr:rowOff>114300</xdr:rowOff>
    </xdr:to>
    <xdr:graphicFrame>
      <xdr:nvGraphicFramePr>
        <xdr:cNvPr id="3" name="Chart 4"/>
        <xdr:cNvGraphicFramePr/>
      </xdr:nvGraphicFramePr>
      <xdr:xfrm>
        <a:off x="4562475" y="7667625"/>
        <a:ext cx="2495550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114300</xdr:rowOff>
    </xdr:from>
    <xdr:to>
      <xdr:col>7</xdr:col>
      <xdr:colOff>609600</xdr:colOff>
      <xdr:row>1</xdr:row>
      <xdr:rowOff>133350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5000625" y="11430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Ret Menu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9</xdr:col>
      <xdr:colOff>609600</xdr:colOff>
      <xdr:row>56</xdr:row>
      <xdr:rowOff>114300</xdr:rowOff>
    </xdr:to>
    <xdr:graphicFrame>
      <xdr:nvGraphicFramePr>
        <xdr:cNvPr id="2" name="Chart 4"/>
        <xdr:cNvGraphicFramePr/>
      </xdr:nvGraphicFramePr>
      <xdr:xfrm>
        <a:off x="4562475" y="7658100"/>
        <a:ext cx="24955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504825</xdr:colOff>
      <xdr:row>2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371475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0</xdr:row>
      <xdr:rowOff>114300</xdr:rowOff>
    </xdr:from>
    <xdr:to>
      <xdr:col>7</xdr:col>
      <xdr:colOff>609600</xdr:colOff>
      <xdr:row>1</xdr:row>
      <xdr:rowOff>133350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4705350" y="11430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Ret Menu</a:t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9</xdr:col>
      <xdr:colOff>609600</xdr:colOff>
      <xdr:row>79</xdr:row>
      <xdr:rowOff>114300</xdr:rowOff>
    </xdr:to>
    <xdr:graphicFrame>
      <xdr:nvGraphicFramePr>
        <xdr:cNvPr id="3" name="Chart 4"/>
        <xdr:cNvGraphicFramePr/>
      </xdr:nvGraphicFramePr>
      <xdr:xfrm>
        <a:off x="4267200" y="11344275"/>
        <a:ext cx="2495550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371475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0</xdr:row>
      <xdr:rowOff>114300</xdr:rowOff>
    </xdr:from>
    <xdr:to>
      <xdr:col>7</xdr:col>
      <xdr:colOff>609600</xdr:colOff>
      <xdr:row>1</xdr:row>
      <xdr:rowOff>133350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5000625" y="11430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Ret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57150</xdr:rowOff>
    </xdr:from>
    <xdr:to>
      <xdr:col>6</xdr:col>
      <xdr:colOff>180975</xdr:colOff>
      <xdr:row>12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4076700" y="2543175"/>
          <a:ext cx="180975" cy="11430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28575</xdr:rowOff>
    </xdr:from>
    <xdr:to>
      <xdr:col>10</xdr:col>
      <xdr:colOff>152400</xdr:colOff>
      <xdr:row>16</xdr:row>
      <xdr:rowOff>228600</xdr:rowOff>
    </xdr:to>
    <xdr:sp>
      <xdr:nvSpPr>
        <xdr:cNvPr id="2" name="TextBox 11">
          <a:hlinkClick r:id="rId1"/>
        </xdr:cNvPr>
        <xdr:cNvSpPr txBox="1">
          <a:spLocks noChangeArrowheads="1"/>
        </xdr:cNvSpPr>
      </xdr:nvSpPr>
      <xdr:spPr>
        <a:xfrm>
          <a:off x="5838825" y="3352800"/>
          <a:ext cx="1152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Editar Alunos</a:t>
          </a:r>
        </a:p>
      </xdr:txBody>
    </xdr:sp>
    <xdr:clientData/>
  </xdr:twoCellAnchor>
  <xdr:twoCellAnchor>
    <xdr:from>
      <xdr:col>5</xdr:col>
      <xdr:colOff>57150</xdr:colOff>
      <xdr:row>19</xdr:row>
      <xdr:rowOff>152400</xdr:rowOff>
    </xdr:from>
    <xdr:to>
      <xdr:col>7</xdr:col>
      <xdr:colOff>762000</xdr:colOff>
      <xdr:row>22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3324225" y="4267200"/>
          <a:ext cx="1733550" cy="419100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1</xdr:row>
      <xdr:rowOff>114300</xdr:rowOff>
    </xdr:from>
    <xdr:to>
      <xdr:col>4</xdr:col>
      <xdr:colOff>2438400</xdr:colOff>
      <xdr:row>2</xdr:row>
      <xdr:rowOff>133350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5600700" y="2762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Ret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RowColHeaders="0" showZeros="0" tabSelected="1" showOutlineSymbols="0" zoomScale="90" zoomScaleNormal="90" workbookViewId="0" topLeftCell="B23">
      <selection activeCell="H45" sqref="H45"/>
    </sheetView>
  </sheetViews>
  <sheetFormatPr defaultColWidth="9.140625" defaultRowHeight="12.75"/>
  <cols>
    <col min="1" max="1" width="3.7109375" style="1" customWidth="1"/>
    <col min="2" max="2" width="9.28125" style="1" customWidth="1"/>
    <col min="3" max="3" width="29.00390625" style="1" customWidth="1"/>
    <col min="4" max="4" width="7.7109375" style="1" customWidth="1"/>
    <col min="5" max="5" width="9.28125" style="1" customWidth="1"/>
    <col min="6" max="11" width="9.421875" style="1" customWidth="1"/>
    <col min="12" max="12" width="13.140625" style="1" customWidth="1"/>
    <col min="13" max="13" width="11.421875" style="1" customWidth="1"/>
    <col min="14" max="16384" width="9.140625" style="1" customWidth="1"/>
  </cols>
  <sheetData>
    <row r="1" spans="2:13" ht="12.75" customHeight="1">
      <c r="B1" s="2"/>
      <c r="C1" s="147" t="s">
        <v>0</v>
      </c>
      <c r="D1" s="147"/>
      <c r="E1" s="147"/>
      <c r="F1" s="147"/>
      <c r="G1" s="147"/>
      <c r="H1" s="147"/>
      <c r="I1" s="2"/>
      <c r="J1" s="2"/>
      <c r="K1" s="148"/>
      <c r="L1" s="150"/>
      <c r="M1" s="150"/>
    </row>
    <row r="2" spans="1:13" ht="12.75" customHeight="1">
      <c r="A2" s="2"/>
      <c r="B2" s="2"/>
      <c r="C2" s="147"/>
      <c r="D2" s="147"/>
      <c r="E2" s="147"/>
      <c r="F2" s="147"/>
      <c r="G2" s="147"/>
      <c r="H2" s="147"/>
      <c r="I2" s="2"/>
      <c r="J2" s="2"/>
      <c r="K2" s="149"/>
      <c r="L2" s="151"/>
      <c r="M2" s="151"/>
    </row>
    <row r="3" ht="12.75">
      <c r="L3" s="3"/>
    </row>
    <row r="4" spans="1:13" s="6" customFormat="1" ht="12">
      <c r="A4" s="143" t="s">
        <v>2</v>
      </c>
      <c r="B4" s="143"/>
      <c r="C4" s="5" t="str">
        <f>Menu!C17</f>
        <v>ADM de Agronegocio</v>
      </c>
      <c r="D4" s="143" t="s">
        <v>3</v>
      </c>
      <c r="E4" s="143"/>
      <c r="F4" s="152" t="s">
        <v>97</v>
      </c>
      <c r="G4" s="152"/>
      <c r="H4" s="152"/>
      <c r="I4" s="152"/>
      <c r="J4" s="152"/>
      <c r="K4" s="152"/>
      <c r="L4" s="153" t="s">
        <v>4</v>
      </c>
      <c r="M4" s="153"/>
    </row>
    <row r="5" spans="1:13" s="6" customFormat="1" ht="12">
      <c r="A5" s="143" t="s">
        <v>5</v>
      </c>
      <c r="B5" s="143"/>
      <c r="C5" s="7" t="s">
        <v>196</v>
      </c>
      <c r="D5" s="143" t="s">
        <v>6</v>
      </c>
      <c r="E5" s="143"/>
      <c r="F5" s="144" t="s">
        <v>195</v>
      </c>
      <c r="G5" s="144"/>
      <c r="H5" s="144"/>
      <c r="I5" s="144"/>
      <c r="J5" s="144"/>
      <c r="K5" s="144"/>
      <c r="L5" s="145">
        <f ca="1">NOW()</f>
        <v>39065.43437986111</v>
      </c>
      <c r="M5" s="146"/>
    </row>
    <row r="6" spans="1:13" s="6" customFormat="1" ht="12">
      <c r="A6" s="4"/>
      <c r="B6" s="4"/>
      <c r="C6" s="78"/>
      <c r="D6" s="4"/>
      <c r="E6" s="123" t="s">
        <v>55</v>
      </c>
      <c r="F6" s="124"/>
      <c r="G6" s="124"/>
      <c r="H6" s="124"/>
      <c r="I6" s="124"/>
      <c r="J6" s="124"/>
      <c r="K6" s="125"/>
      <c r="L6" s="79"/>
      <c r="M6" s="78"/>
    </row>
    <row r="7" spans="1:13" s="6" customFormat="1" ht="12">
      <c r="A7" s="4"/>
      <c r="B7" s="4"/>
      <c r="C7" s="78"/>
      <c r="D7" s="4"/>
      <c r="E7" s="155" t="s">
        <v>100</v>
      </c>
      <c r="F7" s="155" t="s">
        <v>198</v>
      </c>
      <c r="G7" s="155" t="s">
        <v>100</v>
      </c>
      <c r="H7" s="155" t="s">
        <v>100</v>
      </c>
      <c r="I7" s="82"/>
      <c r="J7" s="82"/>
      <c r="K7" s="155" t="s">
        <v>197</v>
      </c>
      <c r="L7" s="79"/>
      <c r="M7" s="78"/>
    </row>
    <row r="8" spans="3:12" s="6" customFormat="1" ht="12">
      <c r="C8" s="78"/>
      <c r="E8" s="122"/>
      <c r="F8" s="122"/>
      <c r="G8" s="122"/>
      <c r="H8" s="122"/>
      <c r="I8" s="105" t="s">
        <v>100</v>
      </c>
      <c r="J8" s="105" t="s">
        <v>100</v>
      </c>
      <c r="K8" s="122"/>
      <c r="L8" s="9"/>
    </row>
    <row r="9" spans="1:13" s="6" customFormat="1" ht="12.75" thickBot="1">
      <c r="A9" s="130" t="s">
        <v>9</v>
      </c>
      <c r="B9" s="131" t="s">
        <v>10</v>
      </c>
      <c r="C9" s="132"/>
      <c r="D9" s="137" t="s">
        <v>11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 t="s">
        <v>12</v>
      </c>
      <c r="L9" s="140" t="s">
        <v>202</v>
      </c>
      <c r="M9" s="137" t="s">
        <v>26</v>
      </c>
    </row>
    <row r="10" spans="1:13" s="6" customFormat="1" ht="13.5" customHeight="1" thickBot="1">
      <c r="A10" s="130"/>
      <c r="B10" s="133"/>
      <c r="C10" s="134"/>
      <c r="D10" s="138"/>
      <c r="E10" s="83">
        <v>38985</v>
      </c>
      <c r="F10" s="83">
        <v>38985</v>
      </c>
      <c r="G10" s="83">
        <v>39015</v>
      </c>
      <c r="H10" s="83">
        <v>39043</v>
      </c>
      <c r="I10" s="83">
        <v>39057</v>
      </c>
      <c r="J10" s="83">
        <v>39057</v>
      </c>
      <c r="K10" s="83">
        <v>39050</v>
      </c>
      <c r="L10" s="141"/>
      <c r="M10" s="137"/>
    </row>
    <row r="11" spans="1:13" s="6" customFormat="1" ht="13.5" customHeight="1" thickBot="1">
      <c r="A11" s="130"/>
      <c r="B11" s="133"/>
      <c r="C11" s="134"/>
      <c r="D11" s="137"/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42"/>
      <c r="M11" s="137"/>
    </row>
    <row r="12" spans="1:13" s="6" customFormat="1" ht="12.75" thickBot="1">
      <c r="A12" s="130"/>
      <c r="B12" s="135"/>
      <c r="C12" s="136"/>
      <c r="D12" s="138"/>
      <c r="E12" s="84">
        <v>1</v>
      </c>
      <c r="F12" s="84">
        <v>2.5</v>
      </c>
      <c r="G12" s="84">
        <v>1</v>
      </c>
      <c r="H12" s="84">
        <v>1</v>
      </c>
      <c r="I12" s="84">
        <v>1</v>
      </c>
      <c r="J12" s="84">
        <v>1</v>
      </c>
      <c r="K12" s="84">
        <v>2.5</v>
      </c>
      <c r="L12" s="14"/>
      <c r="M12" s="139"/>
    </row>
    <row r="13" spans="1:13" s="6" customFormat="1" ht="12.75">
      <c r="A13" s="110">
        <v>1</v>
      </c>
      <c r="B13" s="118" t="s">
        <v>156</v>
      </c>
      <c r="C13" s="118" t="s">
        <v>120</v>
      </c>
      <c r="D13" s="17"/>
      <c r="E13" s="18">
        <v>0.3</v>
      </c>
      <c r="F13" s="18">
        <v>0.58</v>
      </c>
      <c r="G13" s="18">
        <f>0.4+0.3</f>
        <v>0.7</v>
      </c>
      <c r="H13" s="18">
        <v>0.7</v>
      </c>
      <c r="I13" s="18">
        <v>1</v>
      </c>
      <c r="J13" s="18">
        <v>1</v>
      </c>
      <c r="K13" s="18">
        <v>0.23</v>
      </c>
      <c r="L13" s="19">
        <f>IF(SUM(E13:K13)&lt;=10,SUM(E13:K13),"Vr. maior 10,00")</f>
        <v>4.51</v>
      </c>
      <c r="M13" s="20" t="str">
        <f>IF(L13&gt;=6,"Aprovado",IF(L13=0,"-","Prova Final"))</f>
        <v>Prova Final</v>
      </c>
    </row>
    <row r="14" spans="1:13" s="6" customFormat="1" ht="12.75">
      <c r="A14" s="110">
        <v>2</v>
      </c>
      <c r="B14" s="118" t="s">
        <v>157</v>
      </c>
      <c r="C14" s="118" t="s">
        <v>121</v>
      </c>
      <c r="D14" s="17"/>
      <c r="E14" s="18">
        <v>0.7</v>
      </c>
      <c r="F14" s="21">
        <v>1.61</v>
      </c>
      <c r="G14" s="21">
        <f>0.4+0.4</f>
        <v>0.8</v>
      </c>
      <c r="H14" s="21">
        <v>1</v>
      </c>
      <c r="I14" s="18">
        <v>1</v>
      </c>
      <c r="J14" s="18">
        <v>1</v>
      </c>
      <c r="K14" s="21">
        <v>2.08</v>
      </c>
      <c r="L14" s="19">
        <f>IF(SUM(E14:K14)&lt;=10,SUM(E14:K14),"Vr. maior 10,00")</f>
        <v>8.190000000000001</v>
      </c>
      <c r="M14" s="20" t="str">
        <f aca="true" t="shared" si="0" ref="M14:M48">IF(L14&gt;=6,"Aprovado",IF(L14=0,"-","Prova Final"))</f>
        <v>Aprovado</v>
      </c>
    </row>
    <row r="15" spans="1:13" s="6" customFormat="1" ht="12.75">
      <c r="A15" s="111">
        <v>3</v>
      </c>
      <c r="B15" s="118" t="s">
        <v>158</v>
      </c>
      <c r="C15" s="118" t="s">
        <v>122</v>
      </c>
      <c r="D15" s="17"/>
      <c r="E15" s="18">
        <v>0.5</v>
      </c>
      <c r="F15" s="21">
        <v>1.84</v>
      </c>
      <c r="G15" s="21">
        <v>0.5</v>
      </c>
      <c r="H15" s="21">
        <v>0.4</v>
      </c>
      <c r="I15" s="18">
        <v>1</v>
      </c>
      <c r="J15" s="18">
        <v>1</v>
      </c>
      <c r="K15" s="21">
        <v>2</v>
      </c>
      <c r="L15" s="19">
        <f>IF(SUM(E15:K15)&lt;=10,SUM(E15:K15),"Vr. maior 10,00")</f>
        <v>7.24</v>
      </c>
      <c r="M15" s="20" t="str">
        <f t="shared" si="0"/>
        <v>Aprovado</v>
      </c>
    </row>
    <row r="16" spans="1:13" s="6" customFormat="1" ht="12.75">
      <c r="A16" s="111">
        <v>4</v>
      </c>
      <c r="B16" s="118" t="s">
        <v>159</v>
      </c>
      <c r="C16" s="118" t="s">
        <v>123</v>
      </c>
      <c r="D16" s="17"/>
      <c r="E16" s="18">
        <v>1</v>
      </c>
      <c r="F16" s="21">
        <v>2.21</v>
      </c>
      <c r="G16" s="21">
        <f>0.5+0.5</f>
        <v>1</v>
      </c>
      <c r="H16" s="21">
        <v>0.4</v>
      </c>
      <c r="I16" s="18">
        <v>1</v>
      </c>
      <c r="J16" s="18">
        <v>1</v>
      </c>
      <c r="K16" s="21">
        <v>2.33</v>
      </c>
      <c r="L16" s="19">
        <f>IF(SUM(E16:K16)&lt;=10,SUM(E16:K16),"Vr. maior 10,00")</f>
        <v>8.940000000000001</v>
      </c>
      <c r="M16" s="20" t="str">
        <f t="shared" si="0"/>
        <v>Aprovado</v>
      </c>
    </row>
    <row r="17" spans="1:13" s="6" customFormat="1" ht="12.75">
      <c r="A17" s="112">
        <v>5</v>
      </c>
      <c r="B17" s="118" t="s">
        <v>160</v>
      </c>
      <c r="C17" s="118" t="s">
        <v>124</v>
      </c>
      <c r="D17" s="17"/>
      <c r="E17" s="18">
        <v>0.3</v>
      </c>
      <c r="F17" s="21">
        <v>1.18</v>
      </c>
      <c r="G17" s="21">
        <f>0.4+0.5</f>
        <v>0.9</v>
      </c>
      <c r="H17" s="21">
        <v>0.4</v>
      </c>
      <c r="I17" s="18">
        <v>1</v>
      </c>
      <c r="J17" s="18">
        <v>1</v>
      </c>
      <c r="K17" s="21">
        <v>1.13</v>
      </c>
      <c r="L17" s="19">
        <f>IF(SUM(E17:K17)&lt;=10,SUM(E17:K17),"Vr. maior 10,00")</f>
        <v>5.909999999999999</v>
      </c>
      <c r="M17" s="20" t="str">
        <f t="shared" si="0"/>
        <v>Prova Final</v>
      </c>
    </row>
    <row r="18" spans="1:13" s="6" customFormat="1" ht="12.75">
      <c r="A18" s="112">
        <v>6</v>
      </c>
      <c r="B18" s="118" t="s">
        <v>161</v>
      </c>
      <c r="C18" s="118" t="s">
        <v>125</v>
      </c>
      <c r="D18" s="17"/>
      <c r="E18" s="18">
        <v>0.8</v>
      </c>
      <c r="F18" s="21">
        <v>1.08</v>
      </c>
      <c r="G18" s="21">
        <f>0.4+0.4</f>
        <v>0.8</v>
      </c>
      <c r="H18" s="21">
        <v>1</v>
      </c>
      <c r="I18" s="18">
        <v>1</v>
      </c>
      <c r="J18" s="18">
        <v>1</v>
      </c>
      <c r="K18" s="21">
        <v>1.28</v>
      </c>
      <c r="L18" s="19">
        <f aca="true" t="shared" si="1" ref="L18:L48">IF(SUM(E18:K18)&lt;=10,SUM(E18:K18),"Vr. maior 10,00")</f>
        <v>6.96</v>
      </c>
      <c r="M18" s="20" t="str">
        <f t="shared" si="0"/>
        <v>Aprovado</v>
      </c>
    </row>
    <row r="19" spans="1:13" s="6" customFormat="1" ht="12.75">
      <c r="A19" s="112">
        <v>7</v>
      </c>
      <c r="B19" s="118" t="s">
        <v>162</v>
      </c>
      <c r="C19" s="118" t="s">
        <v>126</v>
      </c>
      <c r="D19" s="17"/>
      <c r="E19" s="18">
        <v>0.8</v>
      </c>
      <c r="F19" s="21">
        <v>1.74</v>
      </c>
      <c r="G19" s="21">
        <f>0.5+0.4</f>
        <v>0.9</v>
      </c>
      <c r="H19" s="21">
        <v>0.5</v>
      </c>
      <c r="I19" s="18">
        <v>1</v>
      </c>
      <c r="J19" s="18">
        <v>1</v>
      </c>
      <c r="K19" s="21">
        <v>1.13</v>
      </c>
      <c r="L19" s="19">
        <f t="shared" si="1"/>
        <v>7.069999999999999</v>
      </c>
      <c r="M19" s="20" t="str">
        <f t="shared" si="0"/>
        <v>Aprovado</v>
      </c>
    </row>
    <row r="20" spans="1:13" s="6" customFormat="1" ht="12.75">
      <c r="A20" s="112">
        <v>8</v>
      </c>
      <c r="B20" s="118" t="s">
        <v>163</v>
      </c>
      <c r="C20" s="118" t="s">
        <v>127</v>
      </c>
      <c r="D20" s="17"/>
      <c r="E20" s="18">
        <v>1</v>
      </c>
      <c r="F20" s="21">
        <v>1.84</v>
      </c>
      <c r="G20" s="21">
        <f>0.5+0.5</f>
        <v>1</v>
      </c>
      <c r="H20" s="21">
        <v>1</v>
      </c>
      <c r="I20" s="18">
        <v>1</v>
      </c>
      <c r="J20" s="18">
        <v>1</v>
      </c>
      <c r="K20" s="21">
        <v>2.38</v>
      </c>
      <c r="L20" s="19">
        <f t="shared" si="1"/>
        <v>9.219999999999999</v>
      </c>
      <c r="M20" s="20" t="str">
        <f t="shared" si="0"/>
        <v>Aprovado</v>
      </c>
    </row>
    <row r="21" spans="1:13" s="6" customFormat="1" ht="12.75">
      <c r="A21" s="112">
        <v>9</v>
      </c>
      <c r="B21" s="118" t="s">
        <v>164</v>
      </c>
      <c r="C21" s="118" t="s">
        <v>128</v>
      </c>
      <c r="D21" s="17"/>
      <c r="E21" s="18">
        <v>0.8</v>
      </c>
      <c r="F21" s="21">
        <v>1.52</v>
      </c>
      <c r="G21" s="21">
        <f>0.5+0.5</f>
        <v>1</v>
      </c>
      <c r="H21" s="21">
        <v>1</v>
      </c>
      <c r="I21" s="18">
        <v>1</v>
      </c>
      <c r="J21" s="18">
        <v>1</v>
      </c>
      <c r="K21" s="21">
        <v>1.53</v>
      </c>
      <c r="L21" s="19">
        <f t="shared" si="1"/>
        <v>7.8500000000000005</v>
      </c>
      <c r="M21" s="20" t="str">
        <f t="shared" si="0"/>
        <v>Aprovado</v>
      </c>
    </row>
    <row r="22" spans="1:13" s="6" customFormat="1" ht="12.75">
      <c r="A22" s="112">
        <v>10</v>
      </c>
      <c r="B22" s="118" t="s">
        <v>165</v>
      </c>
      <c r="C22" s="118" t="s">
        <v>129</v>
      </c>
      <c r="D22" s="17"/>
      <c r="E22" s="18">
        <v>0.5</v>
      </c>
      <c r="F22" s="21">
        <v>1.35</v>
      </c>
      <c r="G22" s="21">
        <v>0.5</v>
      </c>
      <c r="H22" s="21">
        <v>1</v>
      </c>
      <c r="I22" s="18">
        <v>1</v>
      </c>
      <c r="J22" s="18">
        <v>1</v>
      </c>
      <c r="K22" s="21">
        <v>2</v>
      </c>
      <c r="L22" s="19">
        <f t="shared" si="1"/>
        <v>7.35</v>
      </c>
      <c r="M22" s="20" t="str">
        <f t="shared" si="0"/>
        <v>Aprovado</v>
      </c>
    </row>
    <row r="23" spans="1:13" s="6" customFormat="1" ht="12.75">
      <c r="A23" s="112">
        <v>11</v>
      </c>
      <c r="B23" s="118" t="s">
        <v>166</v>
      </c>
      <c r="C23" s="118" t="s">
        <v>130</v>
      </c>
      <c r="D23" s="17"/>
      <c r="E23" s="18">
        <v>1</v>
      </c>
      <c r="F23" s="21">
        <v>1.97</v>
      </c>
      <c r="G23" s="21">
        <f>0.5+0.5</f>
        <v>1</v>
      </c>
      <c r="H23" s="21">
        <v>0.5</v>
      </c>
      <c r="I23" s="18">
        <v>1</v>
      </c>
      <c r="J23" s="18">
        <v>1</v>
      </c>
      <c r="K23" s="21">
        <v>2.5</v>
      </c>
      <c r="L23" s="19">
        <f t="shared" si="1"/>
        <v>8.969999999999999</v>
      </c>
      <c r="M23" s="20" t="str">
        <f t="shared" si="0"/>
        <v>Aprovado</v>
      </c>
    </row>
    <row r="24" spans="1:13" s="6" customFormat="1" ht="12.75">
      <c r="A24" s="112">
        <v>12</v>
      </c>
      <c r="B24" s="118" t="s">
        <v>167</v>
      </c>
      <c r="C24" s="118" t="s">
        <v>131</v>
      </c>
      <c r="D24" s="17"/>
      <c r="E24" s="18"/>
      <c r="F24" s="21">
        <v>2.38</v>
      </c>
      <c r="G24" s="21">
        <f>0.5+0.5</f>
        <v>1</v>
      </c>
      <c r="H24" s="21">
        <v>1</v>
      </c>
      <c r="I24" s="18">
        <v>1</v>
      </c>
      <c r="J24" s="18">
        <v>1</v>
      </c>
      <c r="K24" s="21">
        <v>2.13</v>
      </c>
      <c r="L24" s="19">
        <f t="shared" si="1"/>
        <v>8.51</v>
      </c>
      <c r="M24" s="20" t="str">
        <f t="shared" si="0"/>
        <v>Aprovado</v>
      </c>
    </row>
    <row r="25" spans="1:13" s="6" customFormat="1" ht="12.75">
      <c r="A25" s="112">
        <v>13</v>
      </c>
      <c r="B25" s="118" t="s">
        <v>168</v>
      </c>
      <c r="C25" s="118" t="s">
        <v>132</v>
      </c>
      <c r="D25" s="17"/>
      <c r="E25" s="18">
        <v>0.8</v>
      </c>
      <c r="F25" s="21">
        <v>1.9</v>
      </c>
      <c r="G25" s="21">
        <f>0.5+0.4</f>
        <v>0.9</v>
      </c>
      <c r="H25" s="21">
        <v>0.8</v>
      </c>
      <c r="I25" s="18">
        <v>1</v>
      </c>
      <c r="J25" s="18">
        <v>1</v>
      </c>
      <c r="K25" s="21">
        <v>2</v>
      </c>
      <c r="L25" s="19">
        <f t="shared" si="1"/>
        <v>8.4</v>
      </c>
      <c r="M25" s="20" t="str">
        <f t="shared" si="0"/>
        <v>Aprovado</v>
      </c>
    </row>
    <row r="26" spans="1:13" s="6" customFormat="1" ht="12.75">
      <c r="A26" s="112">
        <v>14</v>
      </c>
      <c r="B26" s="118" t="s">
        <v>167</v>
      </c>
      <c r="C26" s="118" t="s">
        <v>133</v>
      </c>
      <c r="D26" s="17"/>
      <c r="E26" s="18">
        <v>0.9</v>
      </c>
      <c r="F26" s="21">
        <v>2.02</v>
      </c>
      <c r="G26" s="21">
        <f>0.4+0.5</f>
        <v>0.9</v>
      </c>
      <c r="H26" s="21"/>
      <c r="I26" s="18">
        <v>1</v>
      </c>
      <c r="J26" s="18">
        <v>1</v>
      </c>
      <c r="K26" s="21">
        <v>2.18</v>
      </c>
      <c r="L26" s="19">
        <f t="shared" si="1"/>
        <v>8</v>
      </c>
      <c r="M26" s="20" t="str">
        <f t="shared" si="0"/>
        <v>Aprovado</v>
      </c>
    </row>
    <row r="27" spans="1:13" s="6" customFormat="1" ht="12.75">
      <c r="A27" s="112">
        <v>15</v>
      </c>
      <c r="B27" s="118" t="s">
        <v>169</v>
      </c>
      <c r="C27" s="118" t="s">
        <v>134</v>
      </c>
      <c r="D27" s="17"/>
      <c r="E27" s="18">
        <v>1</v>
      </c>
      <c r="F27" s="21">
        <v>1.39</v>
      </c>
      <c r="G27" s="21">
        <f>0.4+0.3</f>
        <v>0.7</v>
      </c>
      <c r="H27" s="21">
        <v>0.7</v>
      </c>
      <c r="I27" s="18">
        <v>1</v>
      </c>
      <c r="J27" s="18">
        <v>1</v>
      </c>
      <c r="K27" s="21">
        <v>1.13</v>
      </c>
      <c r="L27" s="19">
        <f t="shared" si="1"/>
        <v>6.92</v>
      </c>
      <c r="M27" s="20" t="str">
        <f t="shared" si="0"/>
        <v>Aprovado</v>
      </c>
    </row>
    <row r="28" spans="1:13" s="6" customFormat="1" ht="12.75">
      <c r="A28" s="112">
        <v>16</v>
      </c>
      <c r="B28" s="118" t="s">
        <v>170</v>
      </c>
      <c r="C28" s="118" t="s">
        <v>135</v>
      </c>
      <c r="D28" s="17"/>
      <c r="E28" s="18">
        <v>0.5</v>
      </c>
      <c r="F28" s="21">
        <v>0.83</v>
      </c>
      <c r="G28" s="21">
        <f>0.5+0.5</f>
        <v>1</v>
      </c>
      <c r="H28" s="21">
        <v>0.7</v>
      </c>
      <c r="I28" s="18">
        <v>1</v>
      </c>
      <c r="J28" s="18">
        <v>1</v>
      </c>
      <c r="K28" s="21">
        <v>0.5</v>
      </c>
      <c r="L28" s="19">
        <f t="shared" si="1"/>
        <v>5.53</v>
      </c>
      <c r="M28" s="20" t="str">
        <f t="shared" si="0"/>
        <v>Prova Final</v>
      </c>
    </row>
    <row r="29" spans="1:13" s="6" customFormat="1" ht="12.75">
      <c r="A29" s="112">
        <v>17</v>
      </c>
      <c r="B29" s="118" t="s">
        <v>171</v>
      </c>
      <c r="C29" s="118" t="s">
        <v>136</v>
      </c>
      <c r="D29" s="17"/>
      <c r="E29" s="18">
        <v>0.4</v>
      </c>
      <c r="F29" s="21">
        <v>2.01</v>
      </c>
      <c r="G29" s="21">
        <f>0.5+0.4</f>
        <v>0.9</v>
      </c>
      <c r="H29" s="21">
        <v>0.8</v>
      </c>
      <c r="I29" s="18">
        <v>1</v>
      </c>
      <c r="J29" s="18">
        <v>1</v>
      </c>
      <c r="K29" s="21">
        <v>1.68</v>
      </c>
      <c r="L29" s="19">
        <f t="shared" si="1"/>
        <v>7.789999999999999</v>
      </c>
      <c r="M29" s="20" t="str">
        <f t="shared" si="0"/>
        <v>Aprovado</v>
      </c>
    </row>
    <row r="30" spans="1:13" s="6" customFormat="1" ht="12.75">
      <c r="A30" s="112">
        <v>18</v>
      </c>
      <c r="B30" s="118" t="s">
        <v>172</v>
      </c>
      <c r="C30" s="118" t="s">
        <v>137</v>
      </c>
      <c r="D30" s="17"/>
      <c r="E30" s="18">
        <v>0.5</v>
      </c>
      <c r="F30" s="21">
        <v>1.88</v>
      </c>
      <c r="G30" s="21">
        <f>0.5+0.4</f>
        <v>0.9</v>
      </c>
      <c r="H30" s="21">
        <v>0.7</v>
      </c>
      <c r="I30" s="18">
        <v>1</v>
      </c>
      <c r="J30" s="18">
        <v>1</v>
      </c>
      <c r="K30" s="21">
        <v>2.13</v>
      </c>
      <c r="L30" s="19">
        <f t="shared" si="1"/>
        <v>8.11</v>
      </c>
      <c r="M30" s="20" t="str">
        <f t="shared" si="0"/>
        <v>Aprovado</v>
      </c>
    </row>
    <row r="31" spans="1:13" s="6" customFormat="1" ht="12.75">
      <c r="A31" s="112">
        <v>19</v>
      </c>
      <c r="B31" s="118" t="s">
        <v>173</v>
      </c>
      <c r="C31" s="118" t="s">
        <v>138</v>
      </c>
      <c r="D31" s="17"/>
      <c r="E31" s="18">
        <v>1</v>
      </c>
      <c r="F31" s="21">
        <v>1.58</v>
      </c>
      <c r="G31" s="21">
        <f>0.5+0.4</f>
        <v>0.9</v>
      </c>
      <c r="H31" s="21">
        <v>0.5</v>
      </c>
      <c r="I31" s="18">
        <v>1</v>
      </c>
      <c r="J31" s="18">
        <v>1</v>
      </c>
      <c r="K31" s="21">
        <v>1.25</v>
      </c>
      <c r="L31" s="19">
        <f t="shared" si="1"/>
        <v>7.23</v>
      </c>
      <c r="M31" s="20" t="str">
        <f t="shared" si="0"/>
        <v>Aprovado</v>
      </c>
    </row>
    <row r="32" spans="1:13" s="6" customFormat="1" ht="12.75">
      <c r="A32" s="113">
        <v>20</v>
      </c>
      <c r="B32" s="118" t="s">
        <v>174</v>
      </c>
      <c r="C32" s="118" t="s">
        <v>139</v>
      </c>
      <c r="D32" s="17"/>
      <c r="E32" s="18">
        <v>0.9</v>
      </c>
      <c r="F32" s="21">
        <v>2.2</v>
      </c>
      <c r="G32" s="21">
        <f>0.5+0.5</f>
        <v>1</v>
      </c>
      <c r="H32" s="21">
        <v>0.7</v>
      </c>
      <c r="I32" s="18">
        <v>1</v>
      </c>
      <c r="J32" s="18">
        <v>1</v>
      </c>
      <c r="K32" s="21">
        <v>2.25</v>
      </c>
      <c r="L32" s="19">
        <f t="shared" si="1"/>
        <v>9.05</v>
      </c>
      <c r="M32" s="20" t="str">
        <f t="shared" si="0"/>
        <v>Aprovado</v>
      </c>
    </row>
    <row r="33" spans="1:13" s="6" customFormat="1" ht="12.75">
      <c r="A33" s="114">
        <v>21</v>
      </c>
      <c r="B33" s="118" t="s">
        <v>175</v>
      </c>
      <c r="C33" s="118" t="s">
        <v>140</v>
      </c>
      <c r="D33" s="17"/>
      <c r="E33" s="18">
        <v>1</v>
      </c>
      <c r="F33" s="21">
        <v>1.55</v>
      </c>
      <c r="G33" s="21">
        <f>0.5+0.5</f>
        <v>1</v>
      </c>
      <c r="H33" s="21">
        <v>0.3</v>
      </c>
      <c r="I33" s="18">
        <v>1</v>
      </c>
      <c r="J33" s="18">
        <v>1</v>
      </c>
      <c r="K33" s="21">
        <v>1.38</v>
      </c>
      <c r="L33" s="19">
        <f t="shared" si="1"/>
        <v>7.2299999999999995</v>
      </c>
      <c r="M33" s="20" t="str">
        <f t="shared" si="0"/>
        <v>Aprovado</v>
      </c>
    </row>
    <row r="34" spans="1:13" s="6" customFormat="1" ht="12.75">
      <c r="A34" s="114">
        <v>22</v>
      </c>
      <c r="B34" s="118" t="s">
        <v>176</v>
      </c>
      <c r="C34" s="118" t="s">
        <v>141</v>
      </c>
      <c r="D34" s="17"/>
      <c r="E34" s="18">
        <v>0.7</v>
      </c>
      <c r="F34" s="21">
        <v>1.28</v>
      </c>
      <c r="G34" s="21">
        <f>0.5+0.5</f>
        <v>1</v>
      </c>
      <c r="H34" s="21">
        <v>0.5</v>
      </c>
      <c r="I34" s="18">
        <v>1</v>
      </c>
      <c r="J34" s="18">
        <v>1</v>
      </c>
      <c r="K34" s="21">
        <v>1.83</v>
      </c>
      <c r="L34" s="19">
        <f t="shared" si="1"/>
        <v>7.3100000000000005</v>
      </c>
      <c r="M34" s="20" t="str">
        <f t="shared" si="0"/>
        <v>Aprovado</v>
      </c>
    </row>
    <row r="35" spans="1:13" s="6" customFormat="1" ht="12.75">
      <c r="A35" s="115">
        <v>23</v>
      </c>
      <c r="B35" s="118" t="s">
        <v>177</v>
      </c>
      <c r="C35" s="118" t="s">
        <v>142</v>
      </c>
      <c r="D35" s="17"/>
      <c r="E35" s="18">
        <v>0.6</v>
      </c>
      <c r="F35" s="21">
        <v>1.59</v>
      </c>
      <c r="G35" s="21">
        <f>0.4+0.4</f>
        <v>0.8</v>
      </c>
      <c r="H35" s="21">
        <v>1</v>
      </c>
      <c r="I35" s="18">
        <v>1</v>
      </c>
      <c r="J35" s="18">
        <v>1</v>
      </c>
      <c r="K35" s="21">
        <v>1.88</v>
      </c>
      <c r="L35" s="19">
        <f t="shared" si="1"/>
        <v>7.87</v>
      </c>
      <c r="M35" s="20" t="str">
        <f t="shared" si="0"/>
        <v>Aprovado</v>
      </c>
    </row>
    <row r="36" spans="1:13" s="6" customFormat="1" ht="12.75">
      <c r="A36" s="116">
        <v>24</v>
      </c>
      <c r="B36" s="118" t="s">
        <v>178</v>
      </c>
      <c r="C36" s="118" t="s">
        <v>143</v>
      </c>
      <c r="D36" s="17"/>
      <c r="E36" s="18"/>
      <c r="F36" s="21">
        <v>2.01</v>
      </c>
      <c r="G36" s="21">
        <f>0.5+0.5</f>
        <v>1</v>
      </c>
      <c r="H36" s="21">
        <v>1</v>
      </c>
      <c r="I36" s="18">
        <v>1</v>
      </c>
      <c r="J36" s="18">
        <v>1</v>
      </c>
      <c r="K36" s="21">
        <v>2</v>
      </c>
      <c r="L36" s="19">
        <f t="shared" si="1"/>
        <v>8.01</v>
      </c>
      <c r="M36" s="20" t="str">
        <f t="shared" si="0"/>
        <v>Aprovado</v>
      </c>
    </row>
    <row r="37" spans="1:13" s="6" customFormat="1" ht="12.75">
      <c r="A37" s="117">
        <v>25</v>
      </c>
      <c r="B37" s="118" t="s">
        <v>179</v>
      </c>
      <c r="C37" s="118" t="s">
        <v>144</v>
      </c>
      <c r="D37" s="17"/>
      <c r="E37" s="18">
        <v>0.5</v>
      </c>
      <c r="F37" s="21">
        <v>1.51</v>
      </c>
      <c r="G37" s="21">
        <v>0.5</v>
      </c>
      <c r="H37" s="21">
        <v>1</v>
      </c>
      <c r="I37" s="18">
        <v>1</v>
      </c>
      <c r="J37" s="18">
        <v>1</v>
      </c>
      <c r="K37" s="21">
        <v>1.56</v>
      </c>
      <c r="L37" s="19">
        <f t="shared" si="1"/>
        <v>7.07</v>
      </c>
      <c r="M37" s="20" t="str">
        <f t="shared" si="0"/>
        <v>Aprovado</v>
      </c>
    </row>
    <row r="38" spans="1:13" s="6" customFormat="1" ht="12.75">
      <c r="A38" s="117">
        <v>26</v>
      </c>
      <c r="B38" s="118" t="s">
        <v>180</v>
      </c>
      <c r="C38" s="118" t="s">
        <v>145</v>
      </c>
      <c r="D38" s="17"/>
      <c r="E38" s="18"/>
      <c r="F38" s="21">
        <v>2.38</v>
      </c>
      <c r="G38" s="21">
        <f>0.5+0.5</f>
        <v>1</v>
      </c>
      <c r="H38" s="21">
        <v>0.4</v>
      </c>
      <c r="I38" s="18">
        <v>1</v>
      </c>
      <c r="J38" s="18">
        <v>1</v>
      </c>
      <c r="K38" s="21">
        <v>1.68</v>
      </c>
      <c r="L38" s="19">
        <f t="shared" si="1"/>
        <v>7.459999999999999</v>
      </c>
      <c r="M38" s="20" t="str">
        <f t="shared" si="0"/>
        <v>Aprovado</v>
      </c>
    </row>
    <row r="39" spans="1:13" s="6" customFormat="1" ht="12.75">
      <c r="A39" s="75">
        <v>27</v>
      </c>
      <c r="B39" s="118" t="s">
        <v>181</v>
      </c>
      <c r="C39" s="118" t="s">
        <v>146</v>
      </c>
      <c r="D39" s="17"/>
      <c r="E39" s="18">
        <v>1</v>
      </c>
      <c r="F39" s="21">
        <v>2.38</v>
      </c>
      <c r="G39" s="21">
        <f>0.5+0.5</f>
        <v>1</v>
      </c>
      <c r="H39" s="21">
        <v>1</v>
      </c>
      <c r="I39" s="18">
        <v>1</v>
      </c>
      <c r="J39" s="18">
        <v>1</v>
      </c>
      <c r="K39" s="21">
        <v>2.5</v>
      </c>
      <c r="L39" s="19">
        <f t="shared" si="1"/>
        <v>9.879999999999999</v>
      </c>
      <c r="M39" s="20" t="str">
        <f t="shared" si="0"/>
        <v>Aprovado</v>
      </c>
    </row>
    <row r="40" spans="1:13" s="6" customFormat="1" ht="12.75">
      <c r="A40" s="75">
        <v>28</v>
      </c>
      <c r="B40" s="118" t="s">
        <v>182</v>
      </c>
      <c r="C40" s="118" t="s">
        <v>147</v>
      </c>
      <c r="D40" s="17"/>
      <c r="E40" s="18"/>
      <c r="F40" s="21">
        <v>0.46</v>
      </c>
      <c r="G40" s="21">
        <f>0.5+0.5</f>
        <v>1</v>
      </c>
      <c r="H40" s="21">
        <v>0.3</v>
      </c>
      <c r="I40" s="18">
        <v>1</v>
      </c>
      <c r="J40" s="18">
        <v>1</v>
      </c>
      <c r="K40" s="21">
        <v>0.88</v>
      </c>
      <c r="L40" s="19">
        <f t="shared" si="1"/>
        <v>4.64</v>
      </c>
      <c r="M40" s="20" t="str">
        <f t="shared" si="0"/>
        <v>Prova Final</v>
      </c>
    </row>
    <row r="41" spans="1:13" s="6" customFormat="1" ht="12.75">
      <c r="A41" s="75">
        <v>29</v>
      </c>
      <c r="B41" s="118" t="s">
        <v>183</v>
      </c>
      <c r="C41" s="118" t="s">
        <v>148</v>
      </c>
      <c r="D41" s="17"/>
      <c r="E41" s="18">
        <v>0.9</v>
      </c>
      <c r="F41" s="21">
        <v>1.15</v>
      </c>
      <c r="G41" s="21">
        <v>0.65</v>
      </c>
      <c r="H41" s="21">
        <v>0.3</v>
      </c>
      <c r="I41" s="18">
        <v>1</v>
      </c>
      <c r="J41" s="18">
        <v>1</v>
      </c>
      <c r="K41" s="21">
        <v>1</v>
      </c>
      <c r="L41" s="19">
        <f t="shared" si="1"/>
        <v>6</v>
      </c>
      <c r="M41" s="20" t="str">
        <f t="shared" si="0"/>
        <v>Aprovado</v>
      </c>
    </row>
    <row r="42" spans="1:13" s="6" customFormat="1" ht="12.75">
      <c r="A42" s="75">
        <v>30</v>
      </c>
      <c r="B42" s="118" t="s">
        <v>184</v>
      </c>
      <c r="C42" s="118" t="s">
        <v>149</v>
      </c>
      <c r="D42" s="17"/>
      <c r="E42" s="18">
        <v>1</v>
      </c>
      <c r="F42" s="21">
        <v>2.01</v>
      </c>
      <c r="G42" s="21">
        <f>0.5+0.5</f>
        <v>1</v>
      </c>
      <c r="H42" s="21">
        <v>1</v>
      </c>
      <c r="I42" s="18">
        <v>1</v>
      </c>
      <c r="J42" s="18">
        <v>1</v>
      </c>
      <c r="K42" s="21">
        <v>1.75</v>
      </c>
      <c r="L42" s="19">
        <f t="shared" si="1"/>
        <v>8.76</v>
      </c>
      <c r="M42" s="20" t="str">
        <f t="shared" si="0"/>
        <v>Aprovado</v>
      </c>
    </row>
    <row r="43" spans="1:13" s="6" customFormat="1" ht="12.75">
      <c r="A43" s="75">
        <v>31</v>
      </c>
      <c r="B43" s="118" t="s">
        <v>185</v>
      </c>
      <c r="C43" s="118" t="s">
        <v>150</v>
      </c>
      <c r="D43" s="17"/>
      <c r="E43" s="18">
        <v>0.6</v>
      </c>
      <c r="F43" s="21">
        <v>0.48</v>
      </c>
      <c r="G43" s="21">
        <v>0.5</v>
      </c>
      <c r="H43" s="21">
        <v>0.4</v>
      </c>
      <c r="I43" s="18">
        <v>1</v>
      </c>
      <c r="J43" s="18">
        <v>1</v>
      </c>
      <c r="K43" s="21">
        <v>0.73</v>
      </c>
      <c r="L43" s="19">
        <f t="shared" si="1"/>
        <v>4.71</v>
      </c>
      <c r="M43" s="20" t="str">
        <f t="shared" si="0"/>
        <v>Prova Final</v>
      </c>
    </row>
    <row r="44" spans="1:13" s="6" customFormat="1" ht="12.75">
      <c r="A44" s="75">
        <v>32</v>
      </c>
      <c r="B44" s="118" t="s">
        <v>186</v>
      </c>
      <c r="C44" s="118" t="s">
        <v>151</v>
      </c>
      <c r="D44" s="17"/>
      <c r="E44" s="18">
        <v>1</v>
      </c>
      <c r="F44" s="21">
        <v>1.22</v>
      </c>
      <c r="G44" s="21">
        <f>0.5+0.5</f>
        <v>1</v>
      </c>
      <c r="H44" s="21">
        <v>0.5</v>
      </c>
      <c r="I44" s="18">
        <v>1</v>
      </c>
      <c r="J44" s="18">
        <v>1</v>
      </c>
      <c r="K44" s="21">
        <v>1.88</v>
      </c>
      <c r="L44" s="19">
        <f t="shared" si="1"/>
        <v>7.6</v>
      </c>
      <c r="M44" s="20" t="str">
        <f t="shared" si="0"/>
        <v>Aprovado</v>
      </c>
    </row>
    <row r="45" spans="1:13" s="6" customFormat="1" ht="12.75">
      <c r="A45" s="75">
        <v>33</v>
      </c>
      <c r="B45" s="118" t="s">
        <v>187</v>
      </c>
      <c r="C45" s="118" t="s">
        <v>199</v>
      </c>
      <c r="D45" s="17"/>
      <c r="E45" s="18">
        <v>0.8</v>
      </c>
      <c r="F45" s="21">
        <v>1.98</v>
      </c>
      <c r="G45" s="21">
        <f>0.5+0.4</f>
        <v>0.9</v>
      </c>
      <c r="H45" s="21">
        <v>0.4</v>
      </c>
      <c r="I45" s="18">
        <v>1</v>
      </c>
      <c r="J45" s="18">
        <v>1</v>
      </c>
      <c r="K45" s="21">
        <v>2.25</v>
      </c>
      <c r="L45" s="19">
        <f t="shared" si="1"/>
        <v>8.33</v>
      </c>
      <c r="M45" s="20" t="str">
        <f t="shared" si="0"/>
        <v>Aprovado</v>
      </c>
    </row>
    <row r="46" spans="1:13" s="6" customFormat="1" ht="12.75">
      <c r="A46" s="75">
        <v>34</v>
      </c>
      <c r="B46" s="118" t="s">
        <v>188</v>
      </c>
      <c r="C46" s="118" t="s">
        <v>153</v>
      </c>
      <c r="D46" s="17"/>
      <c r="E46" s="18"/>
      <c r="F46" s="21">
        <v>0.64</v>
      </c>
      <c r="G46" s="21">
        <f>0.4+0.5</f>
        <v>0.9</v>
      </c>
      <c r="H46" s="21">
        <v>0.4</v>
      </c>
      <c r="I46" s="18">
        <v>1</v>
      </c>
      <c r="J46" s="18">
        <v>1</v>
      </c>
      <c r="K46" s="21">
        <v>0.85</v>
      </c>
      <c r="L46" s="19">
        <f t="shared" si="1"/>
        <v>4.79</v>
      </c>
      <c r="M46" s="20" t="str">
        <f t="shared" si="0"/>
        <v>Prova Final</v>
      </c>
    </row>
    <row r="47" spans="1:13" s="6" customFormat="1" ht="12.75">
      <c r="A47" s="75">
        <v>35</v>
      </c>
      <c r="B47" s="118" t="s">
        <v>189</v>
      </c>
      <c r="C47" s="118" t="s">
        <v>154</v>
      </c>
      <c r="D47" s="17"/>
      <c r="E47" s="21">
        <v>0.3</v>
      </c>
      <c r="F47" s="21">
        <v>1.15</v>
      </c>
      <c r="G47" s="21">
        <v>0.5</v>
      </c>
      <c r="H47" s="21">
        <v>0.4</v>
      </c>
      <c r="I47" s="18">
        <v>1</v>
      </c>
      <c r="J47" s="18">
        <v>1</v>
      </c>
      <c r="K47" s="21">
        <v>0.7</v>
      </c>
      <c r="L47" s="19">
        <f t="shared" si="1"/>
        <v>5.05</v>
      </c>
      <c r="M47" s="20" t="str">
        <f t="shared" si="0"/>
        <v>Prova Final</v>
      </c>
    </row>
    <row r="48" spans="1:13" s="6" customFormat="1" ht="12.75">
      <c r="A48" s="75">
        <v>36</v>
      </c>
      <c r="B48" s="118" t="s">
        <v>190</v>
      </c>
      <c r="C48" s="118" t="s">
        <v>155</v>
      </c>
      <c r="D48" s="17"/>
      <c r="E48" s="21">
        <v>0.3</v>
      </c>
      <c r="F48" s="21">
        <v>1.01</v>
      </c>
      <c r="G48" s="21">
        <f>0.4+0.3</f>
        <v>0.7</v>
      </c>
      <c r="H48" s="21">
        <v>0.7</v>
      </c>
      <c r="I48" s="18">
        <v>1</v>
      </c>
      <c r="J48" s="18">
        <v>1</v>
      </c>
      <c r="K48" s="21">
        <v>0.63</v>
      </c>
      <c r="L48" s="19">
        <f t="shared" si="1"/>
        <v>5.34</v>
      </c>
      <c r="M48" s="20" t="str">
        <f t="shared" si="0"/>
        <v>Prova Final</v>
      </c>
    </row>
    <row r="49" spans="1:13" s="6" customFormat="1" ht="12">
      <c r="A49" s="15" t="str">
        <f>IF($C$5=Alunos!$B$5,Alunos!A62,IF($C$5=Alunos!$E$5,Alunos!D62,IF($C$5=Alunos!$B$68,Alunos!A126,IF($C$5=Alunos!$E$68,Alunos!D122,"-"))))</f>
        <v>-</v>
      </c>
      <c r="B49" s="15" t="str">
        <f>IF($C$5=Alunos!$B$5,Alunos!B62,IF($C$5=Alunos!$E$5,Alunos!E62,IF($C$5=Alunos!$B$68,Alunos!B126,IF($C$5=Alunos!$E$68,Alunos!E122,"-"))))</f>
        <v>-</v>
      </c>
      <c r="C49" s="16"/>
      <c r="D49" s="17"/>
      <c r="E49" s="21"/>
      <c r="F49" s="21"/>
      <c r="G49" s="21"/>
      <c r="H49" s="21"/>
      <c r="I49" s="21"/>
      <c r="J49" s="21"/>
      <c r="K49" s="21"/>
      <c r="L49" s="19">
        <f>IF(SUM(E49:K49)&lt;=25,SUM(E49:K49),"Vr. maior 25,00")</f>
        <v>0</v>
      </c>
      <c r="M49" s="20" t="str">
        <f>IF(L49&gt;=17.5,"Com Média",IF(L49=0,"-","Sem Média"))</f>
        <v>-</v>
      </c>
    </row>
    <row r="50" spans="1:13" s="6" customFormat="1" ht="12">
      <c r="A50" s="15" t="str">
        <f>IF($C$5=Alunos!$B$5,Alunos!A63,IF($C$5=Alunos!$E$5,Alunos!D63,IF($C$5=Alunos!$B$68,Alunos!A127,IF($C$5=Alunos!$E$68,Alunos!D123,"-"))))</f>
        <v>-</v>
      </c>
      <c r="B50" s="15" t="str">
        <f>IF($C$5=Alunos!$B$5,Alunos!B63,IF($C$5=Alunos!$E$5,Alunos!E63,IF($C$5=Alunos!$B$68,Alunos!B127,IF($C$5=Alunos!$E$68,Alunos!E123,"-"))))</f>
        <v>-</v>
      </c>
      <c r="C50" s="16"/>
      <c r="D50" s="17"/>
      <c r="E50" s="21"/>
      <c r="F50" s="21"/>
      <c r="G50" s="21"/>
      <c r="H50" s="21"/>
      <c r="I50" s="21"/>
      <c r="J50" s="21"/>
      <c r="K50" s="21"/>
      <c r="L50" s="19">
        <f>IF(SUM(E50:K50)&lt;=25,SUM(E50:K50),"Vr. maior 25,00")</f>
        <v>0</v>
      </c>
      <c r="M50" s="20" t="str">
        <f>IF(L50&gt;=17.5,"Com Média",IF(L50=0,"-","Sem Média"))</f>
        <v>-</v>
      </c>
    </row>
    <row r="51" spans="1:13" s="6" customFormat="1" ht="12">
      <c r="A51" s="15" t="str">
        <f>IF($C$5=Alunos!$B$5,Alunos!A64,IF($C$5=Alunos!$E$5,Alunos!D64,IF($C$5=Alunos!$B$68,Alunos!A128,IF($C$5=Alunos!$E$68,Alunos!D124,"-"))))</f>
        <v>-</v>
      </c>
      <c r="B51" s="15" t="str">
        <f>IF($C$5=Alunos!$B$5,Alunos!B64,IF($C$5=Alunos!$E$5,Alunos!E64,IF($C$5=Alunos!$B$68,Alunos!B128,IF($C$5=Alunos!$E$68,Alunos!E124,"-"))))</f>
        <v>-</v>
      </c>
      <c r="C51" s="16"/>
      <c r="D51" s="17"/>
      <c r="E51" s="21"/>
      <c r="F51" s="21"/>
      <c r="G51" s="21"/>
      <c r="H51" s="21"/>
      <c r="I51" s="21"/>
      <c r="J51" s="21"/>
      <c r="K51" s="21"/>
      <c r="L51" s="19">
        <f>IF(SUM(E51:K51)&lt;=25,SUM(E51:K51),"Vr. maior 25,00")</f>
        <v>0</v>
      </c>
      <c r="M51" s="20" t="str">
        <f>IF(L51&gt;=17.5,"Com Média",IF(L51=0,"-","Sem Média"))</f>
        <v>-</v>
      </c>
    </row>
    <row r="52" spans="1:13" s="6" customFormat="1" ht="12.75">
      <c r="A52" s="64"/>
      <c r="B52" s="64"/>
      <c r="C52" s="1"/>
      <c r="D52" s="1"/>
      <c r="E52" s="1"/>
      <c r="F52" s="1"/>
      <c r="G52" s="1"/>
      <c r="H52" s="1"/>
      <c r="I52" s="1"/>
      <c r="J52" s="1"/>
      <c r="K52" s="1"/>
      <c r="L52" s="1"/>
      <c r="M52" s="20" t="str">
        <f>IF(L52&gt;=17.5,"Com Média",IF(L52=0,"-","Sem Média"))</f>
        <v>-</v>
      </c>
    </row>
    <row r="53" spans="1:13" s="6" customFormat="1" ht="12.75">
      <c r="A53" s="65"/>
      <c r="B53" s="65"/>
      <c r="C53" s="1"/>
      <c r="D53" s="1"/>
      <c r="E53" s="1"/>
      <c r="F53" s="1"/>
      <c r="G53" s="1"/>
      <c r="H53" s="1"/>
      <c r="I53" s="1"/>
      <c r="J53" s="1"/>
      <c r="K53" s="1"/>
      <c r="L53" s="1"/>
      <c r="M53" s="20" t="str">
        <f>IF(L53&gt;=17.5,"Com Média",IF(L53=0,"-","Sem Média"))</f>
        <v>-</v>
      </c>
    </row>
    <row r="54" spans="1:13" s="6" customFormat="1" ht="12.75">
      <c r="A54" s="1"/>
      <c r="B54" s="1"/>
      <c r="C54" s="137" t="s">
        <v>16</v>
      </c>
      <c r="D54" s="137"/>
      <c r="E54" s="137"/>
      <c r="F54" s="1"/>
      <c r="G54" s="1"/>
      <c r="H54" s="1"/>
      <c r="I54" s="1"/>
      <c r="J54" s="1"/>
      <c r="K54" s="1"/>
      <c r="L54" s="1"/>
      <c r="M54" s="1"/>
    </row>
    <row r="55" spans="1:13" s="6" customFormat="1" ht="12.75">
      <c r="A55" s="1"/>
      <c r="B55" s="1"/>
      <c r="C55" s="154" t="s">
        <v>200</v>
      </c>
      <c r="D55" s="154"/>
      <c r="E55" s="23">
        <f>COUNTIF(M12:M52,"Aprovado")</f>
        <v>28</v>
      </c>
      <c r="F55" s="1"/>
      <c r="G55" s="1"/>
      <c r="H55" s="1"/>
      <c r="I55" s="1"/>
      <c r="J55" s="1"/>
      <c r="K55" s="1"/>
      <c r="L55" s="1"/>
      <c r="M55" s="1"/>
    </row>
    <row r="56" spans="1:13" s="6" customFormat="1" ht="12.75">
      <c r="A56" s="1"/>
      <c r="B56" s="1"/>
      <c r="C56" s="154" t="s">
        <v>201</v>
      </c>
      <c r="D56" s="154"/>
      <c r="E56" s="23">
        <f>COUNTIF(M12:M52,"Prova Final")</f>
        <v>8</v>
      </c>
      <c r="F56" s="1"/>
      <c r="G56" s="1"/>
      <c r="H56" s="1"/>
      <c r="I56" s="1"/>
      <c r="J56" s="1"/>
      <c r="K56" s="1"/>
      <c r="L56" s="1"/>
      <c r="M56" s="1"/>
    </row>
    <row r="57" spans="1:13" s="6" customFormat="1" ht="12.75">
      <c r="A57" s="1"/>
      <c r="B57" s="1"/>
      <c r="C57" s="154" t="s">
        <v>19</v>
      </c>
      <c r="D57" s="154"/>
      <c r="E57" s="23">
        <f>SUM(E55:E56)</f>
        <v>36</v>
      </c>
      <c r="F57" s="1"/>
      <c r="G57" s="1"/>
      <c r="H57" s="1"/>
      <c r="I57" s="1"/>
      <c r="J57" s="1"/>
      <c r="K57" s="1"/>
      <c r="L57" s="1"/>
      <c r="M57" s="1"/>
    </row>
    <row r="58" spans="1:13" s="6" customFormat="1" ht="12.75">
      <c r="A58" s="1"/>
      <c r="B58" s="1"/>
      <c r="C58" s="1" t="s">
        <v>204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6" customFormat="1" ht="12.75">
      <c r="A59" s="1"/>
      <c r="B59" s="1"/>
      <c r="C59" s="128" t="s">
        <v>203</v>
      </c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6" customFormat="1" ht="12.75">
      <c r="A60" s="1"/>
      <c r="B60" s="1"/>
      <c r="C60" s="129" t="s">
        <v>205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6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6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6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6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6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6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6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6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6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26">
    <mergeCell ref="K7:K8"/>
    <mergeCell ref="E6:K6"/>
    <mergeCell ref="E7:E8"/>
    <mergeCell ref="F7:F8"/>
    <mergeCell ref="G7:G8"/>
    <mergeCell ref="H7:H8"/>
    <mergeCell ref="C54:E54"/>
    <mergeCell ref="C55:D55"/>
    <mergeCell ref="C56:D56"/>
    <mergeCell ref="C57:D57"/>
    <mergeCell ref="C1:H2"/>
    <mergeCell ref="K1:K2"/>
    <mergeCell ref="L1:M2"/>
    <mergeCell ref="A4:B4"/>
    <mergeCell ref="D4:E4"/>
    <mergeCell ref="F4:K4"/>
    <mergeCell ref="L4:M4"/>
    <mergeCell ref="A5:B5"/>
    <mergeCell ref="D5:E5"/>
    <mergeCell ref="F5:K5"/>
    <mergeCell ref="L5:M5"/>
    <mergeCell ref="A9:A12"/>
    <mergeCell ref="B9:C12"/>
    <mergeCell ref="D9:D12"/>
    <mergeCell ref="M9:M12"/>
    <mergeCell ref="L9:L11"/>
  </mergeCells>
  <conditionalFormatting sqref="L13:L51">
    <cfRule type="cellIs" priority="1" dxfId="0" operator="lessThan" stopIfTrue="1">
      <formula>17.5</formula>
    </cfRule>
    <cfRule type="cellIs" priority="2" dxfId="1" operator="greaterThanOrEqual" stopIfTrue="1">
      <formula>17.5</formula>
    </cfRule>
  </conditionalFormatting>
  <conditionalFormatting sqref="M13:M53">
    <cfRule type="cellIs" priority="3" dxfId="1" operator="equal" stopIfTrue="1">
      <formula>"Com Média"</formula>
    </cfRule>
    <cfRule type="cellIs" priority="4" dxfId="0" operator="equal" stopIfTrue="1">
      <formula>"Sem Média"</formula>
    </cfRule>
  </conditionalFormatting>
  <conditionalFormatting sqref="E13:E51">
    <cfRule type="cellIs" priority="5" dxfId="2" operator="greaterThan" stopIfTrue="1">
      <formula>$E$12</formula>
    </cfRule>
  </conditionalFormatting>
  <conditionalFormatting sqref="F13:F51">
    <cfRule type="cellIs" priority="6" dxfId="2" operator="greaterThan" stopIfTrue="1">
      <formula>$F$12</formula>
    </cfRule>
  </conditionalFormatting>
  <conditionalFormatting sqref="G13:G51">
    <cfRule type="cellIs" priority="7" dxfId="2" operator="greaterThan" stopIfTrue="1">
      <formula>$G$12</formula>
    </cfRule>
  </conditionalFormatting>
  <conditionalFormatting sqref="H13:J51">
    <cfRule type="cellIs" priority="8" dxfId="2" operator="greaterThan" stopIfTrue="1">
      <formula>$H$12</formula>
    </cfRule>
  </conditionalFormatting>
  <conditionalFormatting sqref="K13:K51">
    <cfRule type="cellIs" priority="9" dxfId="2" operator="greaterThan" stopIfTrue="1">
      <formula>$K$12</formula>
    </cfRule>
  </conditionalFormatting>
  <conditionalFormatting sqref="L12">
    <cfRule type="cellIs" priority="10" dxfId="3" operator="greaterThan" stopIfTrue="1">
      <formula>25</formula>
    </cfRule>
  </conditionalFormatting>
  <printOptions/>
  <pageMargins left="0.35" right="0.28" top="0.42" bottom="0.4" header="0.3" footer="0.27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90" zoomScaleNormal="90" workbookViewId="0" topLeftCell="A1">
      <selection activeCell="O13" sqref="O13"/>
    </sheetView>
  </sheetViews>
  <sheetFormatPr defaultColWidth="9.140625" defaultRowHeight="12.75"/>
  <cols>
    <col min="1" max="1" width="3.7109375" style="1" customWidth="1"/>
    <col min="2" max="2" width="9.28125" style="1" customWidth="1"/>
    <col min="3" max="3" width="29.00390625" style="1" customWidth="1"/>
    <col min="4" max="4" width="7.7109375" style="1" customWidth="1"/>
    <col min="5" max="5" width="9.28125" style="1" customWidth="1"/>
    <col min="6" max="9" width="9.421875" style="1" customWidth="1"/>
    <col min="10" max="10" width="12.57421875" style="1" customWidth="1"/>
    <col min="11" max="11" width="11.421875" style="1" customWidth="1"/>
    <col min="12" max="13" width="9.8515625" style="1" bestFit="1" customWidth="1"/>
    <col min="14" max="16384" width="9.140625" style="1" customWidth="1"/>
  </cols>
  <sheetData>
    <row r="1" spans="2:11" ht="12.75" customHeight="1">
      <c r="B1" s="2"/>
      <c r="C1" s="147" t="s">
        <v>0</v>
      </c>
      <c r="D1" s="147"/>
      <c r="E1" s="147"/>
      <c r="F1" s="147"/>
      <c r="G1" s="147"/>
      <c r="H1" s="147"/>
      <c r="I1" s="148" t="s">
        <v>20</v>
      </c>
      <c r="J1" s="150" t="s">
        <v>1</v>
      </c>
      <c r="K1" s="150"/>
    </row>
    <row r="2" spans="1:11" ht="12.75" customHeight="1">
      <c r="A2" s="2"/>
      <c r="B2" s="2"/>
      <c r="C2" s="147"/>
      <c r="D2" s="147"/>
      <c r="E2" s="147"/>
      <c r="F2" s="147"/>
      <c r="G2" s="147"/>
      <c r="H2" s="147"/>
      <c r="I2" s="149"/>
      <c r="J2" s="151"/>
      <c r="K2" s="151"/>
    </row>
    <row r="3" ht="12.75">
      <c r="J3" s="3"/>
    </row>
    <row r="4" spans="1:11" s="6" customFormat="1" ht="12">
      <c r="A4" s="143" t="s">
        <v>2</v>
      </c>
      <c r="B4" s="143"/>
      <c r="C4" s="5" t="str">
        <f>Menu!C17</f>
        <v>ADM de Agronegocio</v>
      </c>
      <c r="D4" s="143" t="s">
        <v>3</v>
      </c>
      <c r="E4" s="143"/>
      <c r="F4" s="152" t="str">
        <f>Menu!C9</f>
        <v>Wesley Antônio Gonçalves</v>
      </c>
      <c r="G4" s="152"/>
      <c r="H4" s="152"/>
      <c r="I4" s="152"/>
      <c r="J4" s="153" t="s">
        <v>4</v>
      </c>
      <c r="K4" s="153"/>
    </row>
    <row r="5" spans="1:11" s="6" customFormat="1" ht="12">
      <c r="A5" s="143" t="s">
        <v>5</v>
      </c>
      <c r="B5" s="143"/>
      <c r="C5" s="7" t="str">
        <f>Menu!H17</f>
        <v>ADM41</v>
      </c>
      <c r="D5" s="143" t="s">
        <v>6</v>
      </c>
      <c r="E5" s="143"/>
      <c r="F5" s="144" t="str">
        <f>Menu!E13</f>
        <v>Sistemas de Informação Gerencial</v>
      </c>
      <c r="G5" s="144"/>
      <c r="H5" s="144"/>
      <c r="I5" s="144"/>
      <c r="J5" s="145">
        <f ca="1">NOW()</f>
        <v>39065.43437986111</v>
      </c>
      <c r="K5" s="146"/>
    </row>
    <row r="6" spans="1:11" s="6" customFormat="1" ht="12">
      <c r="A6" s="4"/>
      <c r="B6" s="4"/>
      <c r="C6" s="78"/>
      <c r="D6" s="4"/>
      <c r="E6" s="123" t="s">
        <v>55</v>
      </c>
      <c r="F6" s="124"/>
      <c r="G6" s="124"/>
      <c r="H6" s="124"/>
      <c r="I6" s="125"/>
      <c r="J6" s="79"/>
      <c r="K6" s="78"/>
    </row>
    <row r="7" spans="3:14" s="6" customFormat="1" ht="12">
      <c r="C7" s="78"/>
      <c r="E7" s="106" t="s">
        <v>100</v>
      </c>
      <c r="F7" s="106" t="s">
        <v>100</v>
      </c>
      <c r="G7" s="106" t="s">
        <v>102</v>
      </c>
      <c r="H7" s="106" t="s">
        <v>100</v>
      </c>
      <c r="I7" s="106" t="s">
        <v>100</v>
      </c>
      <c r="J7" s="106" t="s">
        <v>100</v>
      </c>
      <c r="K7" s="106" t="s">
        <v>100</v>
      </c>
      <c r="L7" s="106" t="s">
        <v>100</v>
      </c>
      <c r="M7" s="106" t="s">
        <v>107</v>
      </c>
      <c r="N7" s="9"/>
    </row>
    <row r="8" spans="3:14" s="6" customFormat="1" ht="12">
      <c r="C8" s="78"/>
      <c r="E8" s="107" t="s">
        <v>106</v>
      </c>
      <c r="F8" s="107" t="s">
        <v>103</v>
      </c>
      <c r="G8" s="107" t="s">
        <v>104</v>
      </c>
      <c r="H8" s="107" t="s">
        <v>105</v>
      </c>
      <c r="I8" s="107" t="s">
        <v>103</v>
      </c>
      <c r="J8" s="107" t="s">
        <v>109</v>
      </c>
      <c r="K8" s="107" t="s">
        <v>109</v>
      </c>
      <c r="L8" s="107" t="s">
        <v>109</v>
      </c>
      <c r="M8" s="107" t="s">
        <v>108</v>
      </c>
      <c r="N8" s="9"/>
    </row>
    <row r="9" spans="1:15" s="6" customFormat="1" ht="12.75" thickBot="1">
      <c r="A9" s="130" t="s">
        <v>9</v>
      </c>
      <c r="B9" s="131" t="s">
        <v>10</v>
      </c>
      <c r="C9" s="132"/>
      <c r="D9" s="137" t="s">
        <v>11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/>
      <c r="L9" s="10"/>
      <c r="M9" s="10" t="s">
        <v>12</v>
      </c>
      <c r="N9" s="140" t="s">
        <v>13</v>
      </c>
      <c r="O9" s="137" t="s">
        <v>14</v>
      </c>
    </row>
    <row r="10" spans="1:15" s="6" customFormat="1" ht="13.5" customHeight="1" thickBot="1">
      <c r="A10" s="130"/>
      <c r="B10" s="133"/>
      <c r="C10" s="134"/>
      <c r="D10" s="138"/>
      <c r="E10" s="83">
        <v>38845</v>
      </c>
      <c r="F10" s="83">
        <v>38853</v>
      </c>
      <c r="G10" s="83">
        <v>38866</v>
      </c>
      <c r="H10" s="83">
        <v>38874</v>
      </c>
      <c r="I10" s="83">
        <v>38880</v>
      </c>
      <c r="J10" s="83">
        <v>38888</v>
      </c>
      <c r="K10" s="83">
        <v>38894</v>
      </c>
      <c r="L10" s="83">
        <v>38895</v>
      </c>
      <c r="M10" s="83">
        <v>38902</v>
      </c>
      <c r="N10" s="141"/>
      <c r="O10" s="137"/>
    </row>
    <row r="11" spans="1:15" s="6" customFormat="1" ht="13.5" customHeight="1" thickBot="1">
      <c r="A11" s="130"/>
      <c r="B11" s="133"/>
      <c r="C11" s="134"/>
      <c r="D11" s="137"/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/>
      <c r="L11" s="12"/>
      <c r="M11" s="12" t="s">
        <v>15</v>
      </c>
      <c r="N11" s="142"/>
      <c r="O11" s="137"/>
    </row>
    <row r="12" spans="1:15" s="6" customFormat="1" ht="12.75" thickBot="1">
      <c r="A12" s="130"/>
      <c r="B12" s="135"/>
      <c r="C12" s="136"/>
      <c r="D12" s="138"/>
      <c r="E12" s="84">
        <v>1</v>
      </c>
      <c r="F12" s="84">
        <v>1.5</v>
      </c>
      <c r="G12" s="84">
        <v>5</v>
      </c>
      <c r="H12" s="84">
        <v>1</v>
      </c>
      <c r="I12" s="84">
        <v>1</v>
      </c>
      <c r="J12" s="84">
        <v>1</v>
      </c>
      <c r="K12" s="84">
        <v>1</v>
      </c>
      <c r="L12" s="84">
        <v>1</v>
      </c>
      <c r="M12" s="84">
        <v>12.5</v>
      </c>
      <c r="N12" s="14"/>
      <c r="O12" s="139"/>
    </row>
    <row r="13" spans="1:15" s="6" customFormat="1" ht="12.75">
      <c r="A13" s="99">
        <v>1</v>
      </c>
      <c r="B13" s="86" t="s">
        <v>59</v>
      </c>
      <c r="C13" s="16"/>
      <c r="D13" s="17"/>
      <c r="E13" s="18">
        <v>0.9</v>
      </c>
      <c r="F13" s="18">
        <v>1.15</v>
      </c>
      <c r="G13" s="18">
        <v>5</v>
      </c>
      <c r="H13" s="18">
        <v>0.9</v>
      </c>
      <c r="I13" s="18">
        <v>0</v>
      </c>
      <c r="J13" s="18">
        <v>1</v>
      </c>
      <c r="K13" s="18">
        <v>1</v>
      </c>
      <c r="L13" s="18">
        <v>0.9</v>
      </c>
      <c r="M13" s="18">
        <v>8.75</v>
      </c>
      <c r="N13" s="19">
        <f>IF(SUM(E13:M13)&lt;=25,SUM(E13:M13),"Vr. maior 25,00")</f>
        <v>19.6</v>
      </c>
      <c r="O13" s="20" t="str">
        <f>IF(N13&gt;=17.5,"Com Média",IF(N13=0,"-","Sem Média"))</f>
        <v>Com Média</v>
      </c>
    </row>
    <row r="14" spans="1:15" s="6" customFormat="1" ht="12">
      <c r="A14" s="58">
        <v>3</v>
      </c>
      <c r="B14" s="86" t="s">
        <v>61</v>
      </c>
      <c r="C14" s="16"/>
      <c r="D14" s="17"/>
      <c r="E14" s="21">
        <v>1</v>
      </c>
      <c r="F14" s="21">
        <v>1</v>
      </c>
      <c r="G14" s="18">
        <v>5</v>
      </c>
      <c r="H14" s="21">
        <v>1</v>
      </c>
      <c r="I14" s="18">
        <v>0</v>
      </c>
      <c r="J14" s="18">
        <v>0.8</v>
      </c>
      <c r="K14" s="18">
        <v>0.8</v>
      </c>
      <c r="L14" s="18">
        <v>0.8</v>
      </c>
      <c r="M14" s="18">
        <v>10</v>
      </c>
      <c r="N14" s="22">
        <f aca="true" t="shared" si="0" ref="N14:N46">IF(SUM(E14:M14)&lt;=25,SUM(E14:M14),"Vr. maior 25,00")</f>
        <v>20.400000000000002</v>
      </c>
      <c r="O14" s="20" t="str">
        <f aca="true" t="shared" si="1" ref="O14:O41">IF(N14&gt;=17.5,"Com Média",IF(N14=0,"-","Sem Média"))</f>
        <v>Com Média</v>
      </c>
    </row>
    <row r="15" spans="1:15" s="6" customFormat="1" ht="12">
      <c r="A15" s="58">
        <v>6</v>
      </c>
      <c r="B15" s="86" t="s">
        <v>62</v>
      </c>
      <c r="C15" s="16"/>
      <c r="D15" s="17"/>
      <c r="E15" s="21">
        <v>0.7</v>
      </c>
      <c r="F15" s="21">
        <v>0.85</v>
      </c>
      <c r="G15" s="18">
        <v>5</v>
      </c>
      <c r="H15" s="21">
        <v>0.9</v>
      </c>
      <c r="I15" s="18">
        <v>0</v>
      </c>
      <c r="J15" s="18">
        <v>1</v>
      </c>
      <c r="K15" s="18">
        <v>1</v>
      </c>
      <c r="L15" s="18">
        <v>0.9</v>
      </c>
      <c r="M15" s="18">
        <v>8.75</v>
      </c>
      <c r="N15" s="22">
        <f t="shared" si="0"/>
        <v>19.1</v>
      </c>
      <c r="O15" s="20" t="str">
        <f t="shared" si="1"/>
        <v>Com Média</v>
      </c>
    </row>
    <row r="16" spans="1:15" s="6" customFormat="1" ht="12.75">
      <c r="A16" s="75">
        <v>7</v>
      </c>
      <c r="B16" s="86" t="s">
        <v>63</v>
      </c>
      <c r="C16" s="16"/>
      <c r="D16" s="17"/>
      <c r="E16" s="21">
        <v>1</v>
      </c>
      <c r="F16" s="21">
        <v>1.5</v>
      </c>
      <c r="G16" s="18">
        <v>5</v>
      </c>
      <c r="H16" s="21">
        <v>0.9</v>
      </c>
      <c r="I16" s="18">
        <v>0</v>
      </c>
      <c r="J16" s="18">
        <v>1</v>
      </c>
      <c r="K16" s="18">
        <v>1</v>
      </c>
      <c r="L16" s="18">
        <v>0.9</v>
      </c>
      <c r="M16" s="18">
        <v>11.25</v>
      </c>
      <c r="N16" s="22">
        <f t="shared" si="0"/>
        <v>22.55</v>
      </c>
      <c r="O16" s="20" t="str">
        <f t="shared" si="1"/>
        <v>Com Média</v>
      </c>
    </row>
    <row r="17" spans="1:15" s="6" customFormat="1" ht="12.75">
      <c r="A17" s="75">
        <v>8</v>
      </c>
      <c r="B17" s="86" t="s">
        <v>64</v>
      </c>
      <c r="C17" s="16"/>
      <c r="D17" s="17"/>
      <c r="E17" s="21">
        <v>0.8</v>
      </c>
      <c r="F17" s="21">
        <v>1.2</v>
      </c>
      <c r="G17" s="18">
        <v>5</v>
      </c>
      <c r="H17" s="21">
        <v>0.9</v>
      </c>
      <c r="I17" s="18">
        <v>0</v>
      </c>
      <c r="J17" s="18">
        <v>1</v>
      </c>
      <c r="K17" s="18">
        <v>1</v>
      </c>
      <c r="L17" s="18">
        <v>0.8</v>
      </c>
      <c r="M17" s="18">
        <v>9.5</v>
      </c>
      <c r="N17" s="22">
        <f t="shared" si="0"/>
        <v>20.200000000000003</v>
      </c>
      <c r="O17" s="20" t="str">
        <f t="shared" si="1"/>
        <v>Com Média</v>
      </c>
    </row>
    <row r="18" spans="1:15" s="6" customFormat="1" ht="12.75">
      <c r="A18" s="75">
        <v>9</v>
      </c>
      <c r="B18" s="86" t="s">
        <v>65</v>
      </c>
      <c r="C18" s="16"/>
      <c r="D18" s="17"/>
      <c r="E18" s="21">
        <v>1</v>
      </c>
      <c r="F18" s="21">
        <v>1.17</v>
      </c>
      <c r="G18" s="18">
        <v>5</v>
      </c>
      <c r="H18" s="21">
        <v>0.8</v>
      </c>
      <c r="I18" s="18">
        <v>0</v>
      </c>
      <c r="J18" s="18">
        <v>1</v>
      </c>
      <c r="K18" s="18">
        <v>1</v>
      </c>
      <c r="L18" s="18">
        <v>0.9</v>
      </c>
      <c r="M18" s="18">
        <v>11.25</v>
      </c>
      <c r="N18" s="22">
        <f t="shared" si="0"/>
        <v>22.119999999999997</v>
      </c>
      <c r="O18" s="20" t="str">
        <f t="shared" si="1"/>
        <v>Com Média</v>
      </c>
    </row>
    <row r="19" spans="1:15" s="6" customFormat="1" ht="12.75">
      <c r="A19" s="75">
        <v>10</v>
      </c>
      <c r="B19" s="86" t="s">
        <v>66</v>
      </c>
      <c r="C19" s="16"/>
      <c r="D19" s="17"/>
      <c r="E19" s="21">
        <v>0.9</v>
      </c>
      <c r="F19" s="21">
        <v>1.3</v>
      </c>
      <c r="G19" s="18">
        <v>5</v>
      </c>
      <c r="H19" s="21">
        <v>0.8</v>
      </c>
      <c r="I19" s="18">
        <v>0</v>
      </c>
      <c r="J19" s="18">
        <v>1</v>
      </c>
      <c r="K19" s="18">
        <v>1</v>
      </c>
      <c r="L19" s="18">
        <v>0.9</v>
      </c>
      <c r="M19" s="18">
        <v>10</v>
      </c>
      <c r="N19" s="22">
        <f t="shared" si="0"/>
        <v>20.9</v>
      </c>
      <c r="O19" s="20" t="str">
        <f t="shared" si="1"/>
        <v>Com Média</v>
      </c>
    </row>
    <row r="20" spans="1:15" s="6" customFormat="1" ht="12.75">
      <c r="A20" s="75">
        <v>11</v>
      </c>
      <c r="B20" s="86" t="s">
        <v>67</v>
      </c>
      <c r="C20" s="16"/>
      <c r="D20" s="17"/>
      <c r="E20" s="21">
        <v>0.6</v>
      </c>
      <c r="F20" s="21">
        <v>1.2</v>
      </c>
      <c r="G20" s="18">
        <v>5</v>
      </c>
      <c r="H20" s="21">
        <v>0.8</v>
      </c>
      <c r="I20" s="18">
        <v>0</v>
      </c>
      <c r="J20" s="18">
        <v>0.76</v>
      </c>
      <c r="K20" s="18">
        <v>0.76</v>
      </c>
      <c r="L20" s="18">
        <v>0.9</v>
      </c>
      <c r="M20" s="18">
        <v>9.5</v>
      </c>
      <c r="N20" s="22">
        <f t="shared" si="0"/>
        <v>19.52</v>
      </c>
      <c r="O20" s="20" t="str">
        <f t="shared" si="1"/>
        <v>Com Média</v>
      </c>
    </row>
    <row r="21" spans="1:15" s="6" customFormat="1" ht="12.75">
      <c r="A21" s="75">
        <v>12</v>
      </c>
      <c r="B21" s="86" t="s">
        <v>68</v>
      </c>
      <c r="C21" s="16"/>
      <c r="D21" s="17"/>
      <c r="E21" s="21">
        <v>1</v>
      </c>
      <c r="F21" s="21">
        <v>1.2</v>
      </c>
      <c r="G21" s="18">
        <v>5</v>
      </c>
      <c r="H21" s="21">
        <v>1</v>
      </c>
      <c r="I21" s="18">
        <v>0</v>
      </c>
      <c r="J21" s="18">
        <v>1</v>
      </c>
      <c r="K21" s="18">
        <v>0.82</v>
      </c>
      <c r="L21" s="18">
        <v>0.82</v>
      </c>
      <c r="M21" s="18">
        <v>10.25</v>
      </c>
      <c r="N21" s="22">
        <f t="shared" si="0"/>
        <v>21.09</v>
      </c>
      <c r="O21" s="20" t="str">
        <f t="shared" si="1"/>
        <v>Com Média</v>
      </c>
    </row>
    <row r="22" spans="1:15" s="6" customFormat="1" ht="12.75">
      <c r="A22" s="75">
        <v>13</v>
      </c>
      <c r="B22" s="86" t="s">
        <v>69</v>
      </c>
      <c r="C22" s="16"/>
      <c r="D22" s="17"/>
      <c r="E22" s="21">
        <v>0.9</v>
      </c>
      <c r="F22" s="21">
        <v>1.5</v>
      </c>
      <c r="G22" s="18">
        <v>5</v>
      </c>
      <c r="H22" s="21">
        <v>1</v>
      </c>
      <c r="I22" s="18">
        <v>0</v>
      </c>
      <c r="J22" s="18">
        <v>1</v>
      </c>
      <c r="K22" s="18">
        <v>1</v>
      </c>
      <c r="L22" s="18">
        <v>1</v>
      </c>
      <c r="M22" s="18">
        <v>12.5</v>
      </c>
      <c r="N22" s="22">
        <f t="shared" si="0"/>
        <v>23.9</v>
      </c>
      <c r="O22" s="20" t="str">
        <f t="shared" si="1"/>
        <v>Com Média</v>
      </c>
    </row>
    <row r="23" spans="1:15" s="6" customFormat="1" ht="12.75">
      <c r="A23" s="75">
        <v>14</v>
      </c>
      <c r="B23" s="86" t="s">
        <v>70</v>
      </c>
      <c r="C23" s="16"/>
      <c r="D23" s="17"/>
      <c r="E23" s="21">
        <v>0.8</v>
      </c>
      <c r="F23" s="21">
        <v>0.9</v>
      </c>
      <c r="G23" s="18">
        <v>5</v>
      </c>
      <c r="H23" s="21">
        <v>0.8</v>
      </c>
      <c r="I23" s="18">
        <v>0</v>
      </c>
      <c r="J23" s="18">
        <v>1</v>
      </c>
      <c r="K23" s="18">
        <v>1</v>
      </c>
      <c r="L23" s="18">
        <v>0.56</v>
      </c>
      <c r="M23" s="18">
        <v>7</v>
      </c>
      <c r="N23" s="22">
        <f t="shared" si="0"/>
        <v>17.060000000000002</v>
      </c>
      <c r="O23" s="20" t="str">
        <f t="shared" si="1"/>
        <v>Sem Média</v>
      </c>
    </row>
    <row r="24" spans="1:15" s="6" customFormat="1" ht="12.75">
      <c r="A24" s="75">
        <v>15</v>
      </c>
      <c r="B24" s="86" t="s">
        <v>71</v>
      </c>
      <c r="C24" s="16"/>
      <c r="D24" s="17"/>
      <c r="E24" s="21">
        <v>1</v>
      </c>
      <c r="F24" s="21">
        <v>1.05</v>
      </c>
      <c r="G24" s="18">
        <v>5</v>
      </c>
      <c r="H24" s="21">
        <v>0.72</v>
      </c>
      <c r="I24" s="18">
        <v>0</v>
      </c>
      <c r="J24" s="18">
        <v>1</v>
      </c>
      <c r="K24" s="18">
        <v>1</v>
      </c>
      <c r="L24" s="18">
        <v>0.9</v>
      </c>
      <c r="M24" s="18">
        <v>9</v>
      </c>
      <c r="N24" s="22">
        <f t="shared" si="0"/>
        <v>19.67</v>
      </c>
      <c r="O24" s="20" t="str">
        <f t="shared" si="1"/>
        <v>Com Média</v>
      </c>
    </row>
    <row r="25" spans="1:15" s="6" customFormat="1" ht="12.75">
      <c r="A25" s="75">
        <v>16</v>
      </c>
      <c r="B25" s="86" t="s">
        <v>72</v>
      </c>
      <c r="C25" s="16"/>
      <c r="D25" s="17"/>
      <c r="E25" s="21">
        <v>1</v>
      </c>
      <c r="F25" s="21">
        <v>1.4</v>
      </c>
      <c r="G25" s="18">
        <v>5</v>
      </c>
      <c r="H25" s="21">
        <v>1</v>
      </c>
      <c r="I25" s="18">
        <v>0</v>
      </c>
      <c r="J25" s="18">
        <v>1</v>
      </c>
      <c r="K25" s="18">
        <v>1</v>
      </c>
      <c r="L25" s="18">
        <v>1</v>
      </c>
      <c r="M25" s="18">
        <v>12.5</v>
      </c>
      <c r="N25" s="22">
        <f t="shared" si="0"/>
        <v>23.9</v>
      </c>
      <c r="O25" s="20" t="str">
        <f t="shared" si="1"/>
        <v>Com Média</v>
      </c>
    </row>
    <row r="26" spans="1:15" s="6" customFormat="1" ht="12.75">
      <c r="A26" s="75">
        <v>17</v>
      </c>
      <c r="B26" s="86" t="s">
        <v>73</v>
      </c>
      <c r="C26" s="16"/>
      <c r="D26" s="17"/>
      <c r="E26" s="21">
        <v>0.9</v>
      </c>
      <c r="F26" s="21">
        <v>1.4</v>
      </c>
      <c r="G26" s="18">
        <v>5</v>
      </c>
      <c r="H26" s="21">
        <v>0.8</v>
      </c>
      <c r="I26" s="18">
        <v>0</v>
      </c>
      <c r="J26" s="18">
        <v>1</v>
      </c>
      <c r="K26" s="18">
        <v>0.8</v>
      </c>
      <c r="L26" s="18">
        <v>0.8</v>
      </c>
      <c r="M26" s="18">
        <v>10</v>
      </c>
      <c r="N26" s="22">
        <f t="shared" si="0"/>
        <v>20.700000000000003</v>
      </c>
      <c r="O26" s="20" t="str">
        <f t="shared" si="1"/>
        <v>Com Média</v>
      </c>
    </row>
    <row r="27" spans="1:15" s="6" customFormat="1" ht="12.75">
      <c r="A27" s="75">
        <v>18</v>
      </c>
      <c r="B27" s="86" t="s">
        <v>74</v>
      </c>
      <c r="C27" s="16"/>
      <c r="D27" s="17"/>
      <c r="E27" s="21"/>
      <c r="F27" s="21">
        <v>1.2</v>
      </c>
      <c r="G27" s="18">
        <v>5</v>
      </c>
      <c r="H27" s="21"/>
      <c r="I27" s="18">
        <v>0</v>
      </c>
      <c r="J27" s="18">
        <v>1</v>
      </c>
      <c r="K27" s="18">
        <v>1</v>
      </c>
      <c r="L27" s="18">
        <v>0.9</v>
      </c>
      <c r="M27" s="18">
        <v>0</v>
      </c>
      <c r="N27" s="22">
        <f t="shared" si="0"/>
        <v>9.1</v>
      </c>
      <c r="O27" s="20" t="str">
        <f t="shared" si="1"/>
        <v>Sem Média</v>
      </c>
    </row>
    <row r="28" spans="1:15" s="6" customFormat="1" ht="12.75">
      <c r="A28" s="75">
        <v>21</v>
      </c>
      <c r="B28" s="86" t="s">
        <v>75</v>
      </c>
      <c r="C28" s="16"/>
      <c r="D28" s="17"/>
      <c r="E28" s="21">
        <v>0.8</v>
      </c>
      <c r="F28" s="21">
        <v>1.2</v>
      </c>
      <c r="G28" s="18">
        <v>5</v>
      </c>
      <c r="H28" s="21">
        <v>0.8</v>
      </c>
      <c r="I28" s="18">
        <v>0</v>
      </c>
      <c r="J28" s="18">
        <v>1</v>
      </c>
      <c r="K28" s="18">
        <v>0.8</v>
      </c>
      <c r="L28" s="18">
        <v>0.8</v>
      </c>
      <c r="M28" s="18">
        <v>10</v>
      </c>
      <c r="N28" s="22">
        <f t="shared" si="0"/>
        <v>20.400000000000002</v>
      </c>
      <c r="O28" s="20" t="str">
        <f t="shared" si="1"/>
        <v>Com Média</v>
      </c>
    </row>
    <row r="29" spans="1:15" s="6" customFormat="1" ht="12.75">
      <c r="A29" s="75">
        <v>22</v>
      </c>
      <c r="B29" s="86" t="s">
        <v>76</v>
      </c>
      <c r="C29" s="16"/>
      <c r="D29" s="17"/>
      <c r="E29" s="21">
        <v>0.8</v>
      </c>
      <c r="F29" s="21">
        <v>1.2</v>
      </c>
      <c r="G29" s="18">
        <v>5</v>
      </c>
      <c r="H29" s="21">
        <v>0.9</v>
      </c>
      <c r="I29" s="18">
        <v>0</v>
      </c>
      <c r="J29" s="18">
        <v>1</v>
      </c>
      <c r="K29" s="18">
        <v>1</v>
      </c>
      <c r="L29" s="18">
        <v>0.9</v>
      </c>
      <c r="M29" s="18">
        <v>8.75</v>
      </c>
      <c r="N29" s="22">
        <f t="shared" si="0"/>
        <v>19.55</v>
      </c>
      <c r="O29" s="20" t="str">
        <f t="shared" si="1"/>
        <v>Com Média</v>
      </c>
    </row>
    <row r="30" spans="1:15" s="6" customFormat="1" ht="12.75">
      <c r="A30" s="75">
        <v>23</v>
      </c>
      <c r="B30" s="86" t="s">
        <v>77</v>
      </c>
      <c r="C30" s="16"/>
      <c r="D30" s="17"/>
      <c r="E30" s="21">
        <v>0.8</v>
      </c>
      <c r="F30" s="21">
        <v>1.2</v>
      </c>
      <c r="G30" s="18">
        <v>5</v>
      </c>
      <c r="H30" s="21">
        <v>0.5</v>
      </c>
      <c r="I30" s="18">
        <v>0</v>
      </c>
      <c r="J30" s="18">
        <v>0.5</v>
      </c>
      <c r="K30" s="18">
        <v>1</v>
      </c>
      <c r="L30" s="18">
        <v>0.9</v>
      </c>
      <c r="M30" s="18">
        <v>6.25</v>
      </c>
      <c r="N30" s="22">
        <f t="shared" si="0"/>
        <v>16.15</v>
      </c>
      <c r="O30" s="20" t="str">
        <f t="shared" si="1"/>
        <v>Sem Média</v>
      </c>
    </row>
    <row r="31" spans="1:15" s="6" customFormat="1" ht="12.75">
      <c r="A31" s="75">
        <v>25</v>
      </c>
      <c r="B31" s="86" t="s">
        <v>79</v>
      </c>
      <c r="C31" s="16"/>
      <c r="D31" s="17"/>
      <c r="E31" s="21">
        <v>0.8</v>
      </c>
      <c r="F31" s="21">
        <v>1.25</v>
      </c>
      <c r="G31" s="18">
        <v>5</v>
      </c>
      <c r="H31" s="21">
        <v>0.9</v>
      </c>
      <c r="I31" s="18">
        <v>0</v>
      </c>
      <c r="J31" s="18">
        <v>1</v>
      </c>
      <c r="K31" s="18">
        <v>1</v>
      </c>
      <c r="L31" s="18">
        <v>0.9</v>
      </c>
      <c r="M31" s="18">
        <v>11.25</v>
      </c>
      <c r="N31" s="22">
        <f t="shared" si="0"/>
        <v>22.1</v>
      </c>
      <c r="O31" s="20" t="str">
        <f t="shared" si="1"/>
        <v>Com Média</v>
      </c>
    </row>
    <row r="32" spans="1:15" s="6" customFormat="1" ht="12.75">
      <c r="A32" s="75">
        <v>28</v>
      </c>
      <c r="B32" s="86" t="s">
        <v>80</v>
      </c>
      <c r="C32" s="16"/>
      <c r="D32" s="17"/>
      <c r="E32" s="21">
        <v>1</v>
      </c>
      <c r="F32" s="21">
        <v>1.05</v>
      </c>
      <c r="G32" s="18">
        <v>5</v>
      </c>
      <c r="H32" s="21">
        <v>0.8</v>
      </c>
      <c r="I32" s="18">
        <v>0</v>
      </c>
      <c r="J32" s="18">
        <v>1</v>
      </c>
      <c r="K32" s="18">
        <v>1</v>
      </c>
      <c r="L32" s="18">
        <v>0.9</v>
      </c>
      <c r="M32" s="18">
        <v>12.5</v>
      </c>
      <c r="N32" s="22">
        <f t="shared" si="0"/>
        <v>23.25</v>
      </c>
      <c r="O32" s="20" t="str">
        <f t="shared" si="1"/>
        <v>Com Média</v>
      </c>
    </row>
    <row r="33" spans="1:15" s="6" customFormat="1" ht="12.75">
      <c r="A33" s="75">
        <v>29</v>
      </c>
      <c r="B33" s="86" t="s">
        <v>81</v>
      </c>
      <c r="C33" s="16"/>
      <c r="D33" s="17"/>
      <c r="E33" s="21">
        <v>0.8</v>
      </c>
      <c r="F33" s="21">
        <v>0.95</v>
      </c>
      <c r="G33" s="18">
        <v>5</v>
      </c>
      <c r="H33" s="21">
        <v>1</v>
      </c>
      <c r="I33" s="18">
        <v>0</v>
      </c>
      <c r="J33" s="18">
        <v>1</v>
      </c>
      <c r="K33" s="18">
        <v>1</v>
      </c>
      <c r="L33" s="18">
        <v>0.8</v>
      </c>
      <c r="M33" s="18">
        <v>11.25</v>
      </c>
      <c r="N33" s="22">
        <f t="shared" si="0"/>
        <v>21.8</v>
      </c>
      <c r="O33" s="20" t="str">
        <f t="shared" si="1"/>
        <v>Com Média</v>
      </c>
    </row>
    <row r="34" spans="1:15" s="6" customFormat="1" ht="12.75">
      <c r="A34" s="75">
        <v>30</v>
      </c>
      <c r="B34" s="86" t="s">
        <v>82</v>
      </c>
      <c r="C34" s="16"/>
      <c r="D34" s="17"/>
      <c r="E34" s="21">
        <v>0.9</v>
      </c>
      <c r="F34" s="21">
        <v>1.5</v>
      </c>
      <c r="G34" s="18">
        <v>5</v>
      </c>
      <c r="H34" s="21">
        <v>0.8</v>
      </c>
      <c r="I34" s="18">
        <v>0</v>
      </c>
      <c r="J34" s="18">
        <v>1</v>
      </c>
      <c r="K34" s="18">
        <v>0.8</v>
      </c>
      <c r="L34" s="18">
        <v>0.9</v>
      </c>
      <c r="M34" s="18">
        <v>10</v>
      </c>
      <c r="N34" s="22">
        <f t="shared" si="0"/>
        <v>20.900000000000002</v>
      </c>
      <c r="O34" s="20" t="str">
        <f t="shared" si="1"/>
        <v>Com Média</v>
      </c>
    </row>
    <row r="35" spans="1:15" s="6" customFormat="1" ht="12.75">
      <c r="A35" s="75">
        <v>31</v>
      </c>
      <c r="B35" s="86" t="s">
        <v>83</v>
      </c>
      <c r="C35" s="16"/>
      <c r="D35" s="17"/>
      <c r="E35" s="21">
        <v>1</v>
      </c>
      <c r="F35" s="21">
        <v>1</v>
      </c>
      <c r="G35" s="18">
        <v>5</v>
      </c>
      <c r="H35" s="21">
        <v>0.9</v>
      </c>
      <c r="I35" s="18">
        <v>0</v>
      </c>
      <c r="J35" s="18">
        <v>1</v>
      </c>
      <c r="K35" s="18">
        <v>1</v>
      </c>
      <c r="L35" s="18">
        <v>0.8</v>
      </c>
      <c r="M35" s="18">
        <v>6.25</v>
      </c>
      <c r="N35" s="22">
        <f t="shared" si="0"/>
        <v>16.950000000000003</v>
      </c>
      <c r="O35" s="20" t="str">
        <f t="shared" si="1"/>
        <v>Sem Média</v>
      </c>
    </row>
    <row r="36" spans="1:15" s="6" customFormat="1" ht="12.75">
      <c r="A36" s="75">
        <v>32</v>
      </c>
      <c r="B36" s="86" t="s">
        <v>84</v>
      </c>
      <c r="C36" s="16"/>
      <c r="D36" s="17"/>
      <c r="E36" s="21">
        <v>1</v>
      </c>
      <c r="F36" s="21">
        <v>1.35</v>
      </c>
      <c r="G36" s="18">
        <v>5</v>
      </c>
      <c r="H36" s="21">
        <v>0.9</v>
      </c>
      <c r="I36" s="18">
        <v>0</v>
      </c>
      <c r="J36" s="18">
        <v>1</v>
      </c>
      <c r="K36" s="18">
        <v>1</v>
      </c>
      <c r="L36" s="18">
        <v>0.9</v>
      </c>
      <c r="M36" s="18">
        <v>12.5</v>
      </c>
      <c r="N36" s="22">
        <f t="shared" si="0"/>
        <v>23.65</v>
      </c>
      <c r="O36" s="20" t="str">
        <f t="shared" si="1"/>
        <v>Com Média</v>
      </c>
    </row>
    <row r="37" spans="1:15" s="6" customFormat="1" ht="12.75">
      <c r="A37" s="75">
        <v>33</v>
      </c>
      <c r="B37" s="86" t="s">
        <v>85</v>
      </c>
      <c r="C37" s="16"/>
      <c r="D37" s="17"/>
      <c r="E37" s="21">
        <v>0.8</v>
      </c>
      <c r="F37" s="21">
        <v>1.3</v>
      </c>
      <c r="G37" s="18">
        <v>5</v>
      </c>
      <c r="H37" s="21">
        <v>1</v>
      </c>
      <c r="I37" s="18">
        <v>0</v>
      </c>
      <c r="J37" s="18">
        <v>1</v>
      </c>
      <c r="K37" s="18">
        <v>0.9</v>
      </c>
      <c r="L37" s="18">
        <v>0.9</v>
      </c>
      <c r="M37" s="18">
        <v>11.25</v>
      </c>
      <c r="N37" s="22">
        <f t="shared" si="0"/>
        <v>22.15</v>
      </c>
      <c r="O37" s="20" t="str">
        <f t="shared" si="1"/>
        <v>Com Média</v>
      </c>
    </row>
    <row r="38" spans="1:15" s="6" customFormat="1" ht="12.75">
      <c r="A38" s="75">
        <v>34</v>
      </c>
      <c r="B38" s="86" t="s">
        <v>86</v>
      </c>
      <c r="C38" s="16"/>
      <c r="D38" s="17"/>
      <c r="E38" s="21">
        <v>1</v>
      </c>
      <c r="F38" s="21">
        <v>1.4</v>
      </c>
      <c r="G38" s="18">
        <v>5</v>
      </c>
      <c r="H38" s="21">
        <v>1</v>
      </c>
      <c r="I38" s="18">
        <v>0</v>
      </c>
      <c r="J38" s="18">
        <v>1</v>
      </c>
      <c r="K38" s="18">
        <v>1</v>
      </c>
      <c r="L38" s="18">
        <v>0.8</v>
      </c>
      <c r="M38" s="18">
        <v>12.5</v>
      </c>
      <c r="N38" s="22">
        <f t="shared" si="0"/>
        <v>23.700000000000003</v>
      </c>
      <c r="O38" s="20" t="str">
        <f t="shared" si="1"/>
        <v>Com Média</v>
      </c>
    </row>
    <row r="39" spans="1:15" s="6" customFormat="1" ht="12.75">
      <c r="A39" s="75">
        <v>36</v>
      </c>
      <c r="B39" s="86" t="s">
        <v>88</v>
      </c>
      <c r="C39" s="16"/>
      <c r="D39" s="17"/>
      <c r="E39" s="21">
        <v>0.9</v>
      </c>
      <c r="F39" s="21">
        <v>0.6</v>
      </c>
      <c r="G39" s="18">
        <v>5</v>
      </c>
      <c r="H39" s="21">
        <v>1</v>
      </c>
      <c r="I39" s="18">
        <v>0</v>
      </c>
      <c r="J39" s="18">
        <v>1</v>
      </c>
      <c r="K39" s="18">
        <v>1</v>
      </c>
      <c r="L39" s="18">
        <v>0.9</v>
      </c>
      <c r="M39" s="18">
        <v>8.75</v>
      </c>
      <c r="N39" s="22">
        <f t="shared" si="0"/>
        <v>19.15</v>
      </c>
      <c r="O39" s="20" t="str">
        <f t="shared" si="1"/>
        <v>Com Média</v>
      </c>
    </row>
    <row r="40" spans="1:15" s="6" customFormat="1" ht="12.75">
      <c r="A40" s="75">
        <v>39</v>
      </c>
      <c r="B40" s="86" t="s">
        <v>89</v>
      </c>
      <c r="C40" s="16"/>
      <c r="D40" s="17"/>
      <c r="E40" s="21">
        <v>0.8</v>
      </c>
      <c r="F40" s="21">
        <v>1.23</v>
      </c>
      <c r="G40" s="18">
        <v>5</v>
      </c>
      <c r="H40" s="21">
        <v>0.64</v>
      </c>
      <c r="I40" s="18">
        <v>0</v>
      </c>
      <c r="J40" s="18">
        <v>0.64</v>
      </c>
      <c r="K40" s="18">
        <v>0.64</v>
      </c>
      <c r="L40" s="18">
        <v>0.64</v>
      </c>
      <c r="M40" s="18">
        <v>8</v>
      </c>
      <c r="N40" s="22">
        <f t="shared" si="0"/>
        <v>17.590000000000003</v>
      </c>
      <c r="O40" s="20" t="str">
        <f t="shared" si="1"/>
        <v>Com Média</v>
      </c>
    </row>
    <row r="41" spans="1:15" s="6" customFormat="1" ht="12">
      <c r="A41" s="58">
        <v>40</v>
      </c>
      <c r="B41" s="86" t="s">
        <v>90</v>
      </c>
      <c r="C41" s="16"/>
      <c r="D41" s="17"/>
      <c r="E41" s="21">
        <v>0.9</v>
      </c>
      <c r="F41" s="21">
        <v>1.2</v>
      </c>
      <c r="G41" s="18">
        <v>5</v>
      </c>
      <c r="H41" s="21">
        <v>0.8</v>
      </c>
      <c r="I41" s="18">
        <v>0</v>
      </c>
      <c r="J41" s="18">
        <v>0.9</v>
      </c>
      <c r="K41" s="18">
        <v>1</v>
      </c>
      <c r="L41" s="18">
        <v>0.9</v>
      </c>
      <c r="M41" s="18">
        <v>11.25</v>
      </c>
      <c r="N41" s="22">
        <f t="shared" si="0"/>
        <v>21.95</v>
      </c>
      <c r="O41" s="20" t="str">
        <f t="shared" si="1"/>
        <v>Com Média</v>
      </c>
    </row>
    <row r="42" spans="1:15" s="6" customFormat="1" ht="12">
      <c r="A42" s="58">
        <v>42</v>
      </c>
      <c r="B42" s="86" t="s">
        <v>92</v>
      </c>
      <c r="C42" s="16"/>
      <c r="D42" s="17"/>
      <c r="E42" s="21">
        <v>0.58</v>
      </c>
      <c r="F42" s="21">
        <v>1.4</v>
      </c>
      <c r="G42" s="18">
        <v>5</v>
      </c>
      <c r="H42" s="21">
        <v>0.8</v>
      </c>
      <c r="I42" s="18">
        <v>0</v>
      </c>
      <c r="J42" s="18">
        <v>1</v>
      </c>
      <c r="K42" s="18">
        <v>1</v>
      </c>
      <c r="L42" s="18">
        <v>0.7</v>
      </c>
      <c r="M42" s="18">
        <v>7.25</v>
      </c>
      <c r="N42" s="22">
        <f t="shared" si="0"/>
        <v>17.73</v>
      </c>
      <c r="O42" s="20" t="str">
        <f>IF(N42&gt;=17.5,"Com Média",IF(N42=0,"-","Sem Média"))</f>
        <v>Com Média</v>
      </c>
    </row>
    <row r="43" spans="1:15" s="6" customFormat="1" ht="12">
      <c r="A43" s="94">
        <v>43</v>
      </c>
      <c r="B43" s="86" t="s">
        <v>93</v>
      </c>
      <c r="C43" s="16"/>
      <c r="D43" s="17"/>
      <c r="E43" s="21">
        <v>0.96</v>
      </c>
      <c r="F43" s="21">
        <v>1.44</v>
      </c>
      <c r="G43" s="18">
        <v>5</v>
      </c>
      <c r="H43" s="21">
        <v>0.9</v>
      </c>
      <c r="I43" s="18">
        <v>0</v>
      </c>
      <c r="J43" s="18">
        <v>1</v>
      </c>
      <c r="K43" s="18">
        <v>1</v>
      </c>
      <c r="L43" s="18">
        <v>0.96</v>
      </c>
      <c r="M43" s="18">
        <v>12</v>
      </c>
      <c r="N43" s="22">
        <f t="shared" si="0"/>
        <v>23.26</v>
      </c>
      <c r="O43" s="20" t="str">
        <f>IF(N43&gt;=17.5,"Com Média",IF(N43=0,"-","Sem Média"))</f>
        <v>Com Média</v>
      </c>
    </row>
    <row r="44" spans="1:15" s="6" customFormat="1" ht="12">
      <c r="A44" s="94">
        <v>44</v>
      </c>
      <c r="B44" s="86" t="s">
        <v>94</v>
      </c>
      <c r="C44" s="16"/>
      <c r="D44" s="17"/>
      <c r="E44" s="21">
        <v>0.8</v>
      </c>
      <c r="F44" s="21">
        <v>1.2</v>
      </c>
      <c r="G44" s="18">
        <v>5</v>
      </c>
      <c r="H44" s="21">
        <v>0.8</v>
      </c>
      <c r="I44" s="18">
        <v>0</v>
      </c>
      <c r="J44" s="18">
        <v>1</v>
      </c>
      <c r="K44" s="18">
        <v>1</v>
      </c>
      <c r="L44" s="18">
        <v>0.7</v>
      </c>
      <c r="M44" s="18">
        <v>7.25</v>
      </c>
      <c r="N44" s="22">
        <f t="shared" si="0"/>
        <v>17.75</v>
      </c>
      <c r="O44" s="20" t="str">
        <f>IF(N44&gt;=17.5,"Com Média",IF(N44=0,"-","Sem Média"))</f>
        <v>Com Média</v>
      </c>
    </row>
    <row r="45" spans="1:15" s="6" customFormat="1" ht="12">
      <c r="A45" s="102">
        <v>45</v>
      </c>
      <c r="B45" s="24" t="s">
        <v>95</v>
      </c>
      <c r="C45" s="16"/>
      <c r="D45" s="17"/>
      <c r="E45" s="21">
        <v>0.8</v>
      </c>
      <c r="F45" s="21">
        <v>1.5</v>
      </c>
      <c r="G45" s="18">
        <v>5</v>
      </c>
      <c r="H45" s="21">
        <v>0.8</v>
      </c>
      <c r="I45" s="18">
        <v>0</v>
      </c>
      <c r="J45" s="18">
        <v>1</v>
      </c>
      <c r="K45" s="18">
        <v>1</v>
      </c>
      <c r="L45" s="18">
        <v>0.9</v>
      </c>
      <c r="M45" s="18">
        <v>8.75</v>
      </c>
      <c r="N45" s="22">
        <f t="shared" si="0"/>
        <v>19.75</v>
      </c>
      <c r="O45" s="20" t="str">
        <f>IF(N45&gt;=17.5,"Com Média",IF(N45=0,"-","Sem Média"))</f>
        <v>Com Média</v>
      </c>
    </row>
    <row r="46" spans="1:15" s="6" customFormat="1" ht="12">
      <c r="A46" s="15" t="str">
        <f>IF($C$5=Alunos!$B$5,Alunos!A52,IF($C$5=Alunos!$E$5,Alunos!D52,IF($C$5=Alunos!$B$68,Alunos!A116,IF($C$5=Alunos!$E$68,Alunos!D112,"-"))))</f>
        <v>-</v>
      </c>
      <c r="B46" s="15" t="s">
        <v>101</v>
      </c>
      <c r="C46" s="16"/>
      <c r="D46" s="17"/>
      <c r="E46" s="21">
        <v>0.5</v>
      </c>
      <c r="F46" s="21">
        <v>1.15</v>
      </c>
      <c r="G46" s="18">
        <v>5</v>
      </c>
      <c r="H46" s="21">
        <v>0.5</v>
      </c>
      <c r="I46" s="18">
        <v>0</v>
      </c>
      <c r="J46" s="18">
        <v>0.5</v>
      </c>
      <c r="K46" s="18">
        <v>0.5</v>
      </c>
      <c r="L46" s="18">
        <v>0.5</v>
      </c>
      <c r="M46" s="18">
        <v>6.25</v>
      </c>
      <c r="N46" s="22">
        <f t="shared" si="0"/>
        <v>14.9</v>
      </c>
      <c r="O46" s="20" t="str">
        <f>IF(N46&gt;=17.5,"Com Média",IF(N46=0,"-","Sem Média"))</f>
        <v>Sem Média</v>
      </c>
    </row>
    <row r="47" spans="1:11" s="6" customFormat="1" ht="12.75">
      <c r="A47" s="64"/>
      <c r="B47" s="65"/>
      <c r="C47" s="1"/>
      <c r="D47" s="1"/>
      <c r="E47" s="1"/>
      <c r="F47" s="1"/>
      <c r="G47" s="1"/>
      <c r="H47" s="1"/>
      <c r="I47" s="1"/>
      <c r="J47" s="1"/>
      <c r="K47" s="1"/>
    </row>
    <row r="48" spans="1:11" s="6" customFormat="1" ht="12.75">
      <c r="A48" s="65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6" customFormat="1" ht="12.75">
      <c r="A49" s="1"/>
      <c r="B49" s="1"/>
      <c r="C49" s="137" t="s">
        <v>16</v>
      </c>
      <c r="D49" s="137"/>
      <c r="E49" s="137"/>
      <c r="F49" s="1"/>
      <c r="G49" s="1"/>
      <c r="H49" s="1"/>
      <c r="I49" s="1"/>
      <c r="J49" s="1"/>
      <c r="K49" s="1"/>
    </row>
    <row r="50" spans="1:11" s="6" customFormat="1" ht="12.75">
      <c r="A50" s="1"/>
      <c r="B50" s="1"/>
      <c r="C50" s="154" t="s">
        <v>17</v>
      </c>
      <c r="D50" s="154"/>
      <c r="E50" s="23">
        <f>COUNTIF(O12:O46,"Com Média")</f>
        <v>29</v>
      </c>
      <c r="F50" s="1"/>
      <c r="G50" s="1"/>
      <c r="H50" s="1"/>
      <c r="I50" s="1"/>
      <c r="J50" s="1"/>
      <c r="K50" s="1"/>
    </row>
    <row r="51" spans="1:11" s="6" customFormat="1" ht="12.75">
      <c r="A51" s="1"/>
      <c r="B51" s="1"/>
      <c r="C51" s="154" t="s">
        <v>18</v>
      </c>
      <c r="D51" s="154"/>
      <c r="E51" s="23">
        <f>COUNTIF(O12:O46,"Sem Média")</f>
        <v>5</v>
      </c>
      <c r="F51" s="1"/>
      <c r="G51" s="1"/>
      <c r="H51" s="1"/>
      <c r="I51" s="1"/>
      <c r="J51" s="1"/>
      <c r="K51" s="1"/>
    </row>
    <row r="52" spans="1:11" s="6" customFormat="1" ht="12.75">
      <c r="A52" s="1"/>
      <c r="B52" s="1"/>
      <c r="C52" s="154" t="s">
        <v>19</v>
      </c>
      <c r="D52" s="154"/>
      <c r="E52" s="23">
        <f>SUM(E50:E51)</f>
        <v>34</v>
      </c>
      <c r="F52" s="1"/>
      <c r="G52" s="1"/>
      <c r="H52" s="1"/>
      <c r="I52" s="1"/>
      <c r="J52" s="1"/>
      <c r="K52" s="1"/>
    </row>
    <row r="53" spans="1:11" s="6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6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6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6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6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6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6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6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6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6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6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6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6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6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6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6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s="6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sheetProtection/>
  <mergeCells count="21">
    <mergeCell ref="C52:D52"/>
    <mergeCell ref="C1:H2"/>
    <mergeCell ref="I1:I2"/>
    <mergeCell ref="J1:K2"/>
    <mergeCell ref="E6:I6"/>
    <mergeCell ref="C49:E49"/>
    <mergeCell ref="C50:D50"/>
    <mergeCell ref="C51:D51"/>
    <mergeCell ref="A4:B4"/>
    <mergeCell ref="D4:E4"/>
    <mergeCell ref="F4:I4"/>
    <mergeCell ref="J4:K4"/>
    <mergeCell ref="A5:B5"/>
    <mergeCell ref="D5:E5"/>
    <mergeCell ref="F5:I5"/>
    <mergeCell ref="J5:K5"/>
    <mergeCell ref="A9:A12"/>
    <mergeCell ref="B9:C12"/>
    <mergeCell ref="D9:D12"/>
    <mergeCell ref="O9:O12"/>
    <mergeCell ref="N9:N11"/>
  </mergeCells>
  <conditionalFormatting sqref="H13:L46">
    <cfRule type="cellIs" priority="1" dxfId="2" operator="greaterThan" stopIfTrue="1">
      <formula>$H$12</formula>
    </cfRule>
  </conditionalFormatting>
  <conditionalFormatting sqref="N13:N46">
    <cfRule type="cellIs" priority="2" dxfId="0" operator="lessThan" stopIfTrue="1">
      <formula>17.5</formula>
    </cfRule>
    <cfRule type="cellIs" priority="3" dxfId="1" operator="greaterThanOrEqual" stopIfTrue="1">
      <formula>17.5</formula>
    </cfRule>
  </conditionalFormatting>
  <conditionalFormatting sqref="O13:O46">
    <cfRule type="cellIs" priority="4" dxfId="1" operator="equal" stopIfTrue="1">
      <formula>"Com Média"</formula>
    </cfRule>
    <cfRule type="cellIs" priority="5" dxfId="0" operator="equal" stopIfTrue="1">
      <formula>"Sem Média"</formula>
    </cfRule>
  </conditionalFormatting>
  <conditionalFormatting sqref="E13:E46">
    <cfRule type="cellIs" priority="6" dxfId="2" operator="greaterThan" stopIfTrue="1">
      <formula>$E$12</formula>
    </cfRule>
  </conditionalFormatting>
  <conditionalFormatting sqref="F13:F46">
    <cfRule type="cellIs" priority="7" dxfId="2" operator="greaterThan" stopIfTrue="1">
      <formula>$F$12</formula>
    </cfRule>
  </conditionalFormatting>
  <conditionalFormatting sqref="G13:G46">
    <cfRule type="cellIs" priority="8" dxfId="2" operator="greaterThan" stopIfTrue="1">
      <formula>$G$12</formula>
    </cfRule>
  </conditionalFormatting>
  <conditionalFormatting sqref="M13:M46">
    <cfRule type="cellIs" priority="9" dxfId="2" operator="greaterThan" stopIfTrue="1">
      <formula>$M$12</formula>
    </cfRule>
  </conditionalFormatting>
  <conditionalFormatting sqref="N12">
    <cfRule type="cellIs" priority="10" dxfId="3" operator="greaterThan" stopIfTrue="1">
      <formula>25</formula>
    </cfRule>
  </conditionalFormatting>
  <printOptions/>
  <pageMargins left="0.35" right="0.28" top="0.45" bottom="0.38" header="0.33" footer="0.28"/>
  <pageSetup horizontalDpi="600" verticalDpi="600" orientation="portrait" paperSize="9" scale="8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RowColHeaders="0" showZeros="0" showOutlineSymbols="0" zoomScale="90" zoomScaleNormal="90" workbookViewId="0" topLeftCell="A1">
      <selection activeCell="C5" sqref="C5"/>
    </sheetView>
  </sheetViews>
  <sheetFormatPr defaultColWidth="9.140625" defaultRowHeight="12.75"/>
  <cols>
    <col min="1" max="1" width="3.7109375" style="1" customWidth="1"/>
    <col min="2" max="2" width="9.28125" style="1" customWidth="1"/>
    <col min="3" max="3" width="29.00390625" style="1" customWidth="1"/>
    <col min="4" max="4" width="7.7109375" style="1" customWidth="1"/>
    <col min="5" max="5" width="9.28125" style="1" customWidth="1"/>
    <col min="6" max="9" width="9.421875" style="1" customWidth="1"/>
    <col min="10" max="10" width="12.57421875" style="1" customWidth="1"/>
    <col min="11" max="11" width="11.421875" style="1" customWidth="1"/>
    <col min="12" max="16384" width="9.140625" style="1" customWidth="1"/>
  </cols>
  <sheetData>
    <row r="1" spans="2:11" ht="12.75" customHeight="1">
      <c r="B1" s="2"/>
      <c r="C1" s="147" t="s">
        <v>0</v>
      </c>
      <c r="D1" s="147"/>
      <c r="E1" s="147"/>
      <c r="F1" s="147"/>
      <c r="G1" s="147"/>
      <c r="H1" s="147"/>
      <c r="I1" s="148" t="s">
        <v>21</v>
      </c>
      <c r="J1" s="150" t="s">
        <v>1</v>
      </c>
      <c r="K1" s="150"/>
    </row>
    <row r="2" spans="1:11" ht="12.75" customHeight="1">
      <c r="A2" s="2"/>
      <c r="B2" s="2"/>
      <c r="C2" s="147"/>
      <c r="D2" s="147"/>
      <c r="E2" s="147"/>
      <c r="F2" s="147"/>
      <c r="G2" s="147"/>
      <c r="H2" s="147"/>
      <c r="I2" s="149"/>
      <c r="J2" s="151"/>
      <c r="K2" s="151"/>
    </row>
    <row r="3" ht="12.75">
      <c r="J3" s="3"/>
    </row>
    <row r="4" spans="1:11" s="6" customFormat="1" ht="12">
      <c r="A4" s="143" t="s">
        <v>2</v>
      </c>
      <c r="B4" s="143"/>
      <c r="C4" s="5" t="str">
        <f>Menu!C17</f>
        <v>ADM de Agronegocio</v>
      </c>
      <c r="D4" s="143" t="s">
        <v>3</v>
      </c>
      <c r="E4" s="143"/>
      <c r="F4" s="152" t="str">
        <f>Menu!C9</f>
        <v>Wesley Antônio Gonçalves</v>
      </c>
      <c r="G4" s="152"/>
      <c r="H4" s="152"/>
      <c r="I4" s="152"/>
      <c r="J4" s="153" t="s">
        <v>4</v>
      </c>
      <c r="K4" s="153"/>
    </row>
    <row r="5" spans="1:11" s="6" customFormat="1" ht="12">
      <c r="A5" s="143" t="s">
        <v>5</v>
      </c>
      <c r="B5" s="143"/>
      <c r="C5" s="7" t="str">
        <f>Menu!H17</f>
        <v>ADM41</v>
      </c>
      <c r="D5" s="143" t="s">
        <v>6</v>
      </c>
      <c r="E5" s="143"/>
      <c r="F5" s="144" t="str">
        <f>Menu!E13</f>
        <v>Sistemas de Informação Gerencial</v>
      </c>
      <c r="G5" s="144"/>
      <c r="H5" s="144"/>
      <c r="I5" s="144"/>
      <c r="J5" s="145">
        <f ca="1">NOW()</f>
        <v>39065.43437986111</v>
      </c>
      <c r="K5" s="146"/>
    </row>
    <row r="6" spans="3:10" s="6" customFormat="1" ht="12">
      <c r="C6" s="78"/>
      <c r="E6" s="123" t="s">
        <v>55</v>
      </c>
      <c r="F6" s="126"/>
      <c r="G6" s="126"/>
      <c r="H6" s="126"/>
      <c r="I6" s="127"/>
      <c r="J6" s="9"/>
    </row>
    <row r="7" spans="3:12" s="6" customFormat="1" ht="12">
      <c r="C7" s="78"/>
      <c r="E7" s="106" t="s">
        <v>110</v>
      </c>
      <c r="F7" s="106" t="s">
        <v>115</v>
      </c>
      <c r="G7" s="106" t="s">
        <v>112</v>
      </c>
      <c r="H7" s="106" t="s">
        <v>112</v>
      </c>
      <c r="I7" s="106" t="s">
        <v>115</v>
      </c>
      <c r="J7" s="106" t="s">
        <v>115</v>
      </c>
      <c r="K7" s="106" t="s">
        <v>107</v>
      </c>
      <c r="L7" s="9"/>
    </row>
    <row r="8" spans="3:12" s="6" customFormat="1" ht="12">
      <c r="C8" s="78"/>
      <c r="E8" s="107" t="s">
        <v>111</v>
      </c>
      <c r="F8" s="107" t="s">
        <v>116</v>
      </c>
      <c r="G8" s="107" t="s">
        <v>113</v>
      </c>
      <c r="H8" s="107" t="s">
        <v>117</v>
      </c>
      <c r="I8" s="107" t="s">
        <v>114</v>
      </c>
      <c r="J8" s="107"/>
      <c r="K8" s="107" t="s">
        <v>108</v>
      </c>
      <c r="L8" s="9"/>
    </row>
    <row r="9" spans="1:13" s="6" customFormat="1" ht="12.75" thickBot="1">
      <c r="A9" s="130" t="s">
        <v>9</v>
      </c>
      <c r="B9" s="131" t="s">
        <v>10</v>
      </c>
      <c r="C9" s="132"/>
      <c r="D9" s="137" t="s">
        <v>11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 t="s">
        <v>12</v>
      </c>
      <c r="L9" s="140" t="s">
        <v>13</v>
      </c>
      <c r="M9" s="137" t="s">
        <v>14</v>
      </c>
    </row>
    <row r="10" spans="1:13" s="6" customFormat="1" ht="13.5" customHeight="1" thickBot="1">
      <c r="A10" s="130"/>
      <c r="B10" s="133"/>
      <c r="C10" s="134"/>
      <c r="D10" s="138"/>
      <c r="E10" s="83">
        <v>38943</v>
      </c>
      <c r="F10" s="83">
        <v>38957</v>
      </c>
      <c r="G10" s="83">
        <v>38958</v>
      </c>
      <c r="H10" s="83">
        <v>38879</v>
      </c>
      <c r="I10" s="83">
        <v>38979</v>
      </c>
      <c r="J10" s="83"/>
      <c r="K10" s="83">
        <v>38985</v>
      </c>
      <c r="L10" s="141"/>
      <c r="M10" s="137"/>
    </row>
    <row r="11" spans="1:13" s="6" customFormat="1" ht="13.5" customHeight="1" thickBot="1">
      <c r="A11" s="130"/>
      <c r="B11" s="133"/>
      <c r="C11" s="134"/>
      <c r="D11" s="137"/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42"/>
      <c r="M11" s="137"/>
    </row>
    <row r="12" spans="1:13" s="6" customFormat="1" ht="12.75" thickBot="1">
      <c r="A12" s="130"/>
      <c r="B12" s="135"/>
      <c r="C12" s="136"/>
      <c r="D12" s="138"/>
      <c r="E12" s="84">
        <v>1</v>
      </c>
      <c r="F12" s="84">
        <v>1</v>
      </c>
      <c r="G12" s="84">
        <v>1</v>
      </c>
      <c r="H12" s="84">
        <v>2.5</v>
      </c>
      <c r="I12" s="108">
        <v>5</v>
      </c>
      <c r="J12" s="84">
        <v>2</v>
      </c>
      <c r="K12" s="84">
        <v>12.5</v>
      </c>
      <c r="L12" s="14">
        <f aca="true" t="shared" si="0" ref="L12:L46">IF(SUM(E12:K12)&lt;=25,SUM(E12:K12),"Vr. maior 25,00")</f>
        <v>25</v>
      </c>
      <c r="M12" s="139"/>
    </row>
    <row r="13" spans="1:13" s="6" customFormat="1" ht="12.75">
      <c r="A13" s="99">
        <v>1</v>
      </c>
      <c r="B13" s="86" t="s">
        <v>59</v>
      </c>
      <c r="C13" s="16"/>
      <c r="D13" s="17"/>
      <c r="E13" s="18">
        <v>1</v>
      </c>
      <c r="F13" s="18">
        <v>0.8</v>
      </c>
      <c r="G13" s="18">
        <v>1</v>
      </c>
      <c r="H13" s="18">
        <v>2.5</v>
      </c>
      <c r="I13" s="18">
        <v>5</v>
      </c>
      <c r="J13" s="18"/>
      <c r="K13" s="18">
        <v>10</v>
      </c>
      <c r="L13" s="19">
        <f t="shared" si="0"/>
        <v>20.3</v>
      </c>
      <c r="M13" s="20" t="str">
        <f aca="true" t="shared" si="1" ref="M13:M40">IF(L13&gt;=17.5,"Com Média",IF(L13=0,"-","Sem Média"))</f>
        <v>Com Média</v>
      </c>
    </row>
    <row r="14" spans="1:13" s="6" customFormat="1" ht="12">
      <c r="A14" s="58">
        <v>3</v>
      </c>
      <c r="B14" s="86" t="s">
        <v>61</v>
      </c>
      <c r="C14" s="16"/>
      <c r="D14" s="17"/>
      <c r="E14" s="21">
        <v>0.88</v>
      </c>
      <c r="F14" s="21">
        <v>1</v>
      </c>
      <c r="G14" s="21">
        <v>1</v>
      </c>
      <c r="H14" s="21">
        <v>2.5</v>
      </c>
      <c r="I14" s="21">
        <v>0</v>
      </c>
      <c r="J14" s="21"/>
      <c r="K14" s="21">
        <v>11</v>
      </c>
      <c r="L14" s="22">
        <f t="shared" si="0"/>
        <v>16.38</v>
      </c>
      <c r="M14" s="20" t="str">
        <f t="shared" si="1"/>
        <v>Sem Média</v>
      </c>
    </row>
    <row r="15" spans="1:13" s="6" customFormat="1" ht="12">
      <c r="A15" s="58">
        <v>6</v>
      </c>
      <c r="B15" s="86" t="s">
        <v>62</v>
      </c>
      <c r="C15" s="16"/>
      <c r="D15" s="17"/>
      <c r="E15" s="21">
        <v>0.5</v>
      </c>
      <c r="F15" s="21">
        <v>0.8</v>
      </c>
      <c r="G15" s="21">
        <v>1</v>
      </c>
      <c r="H15" s="21">
        <v>2.1</v>
      </c>
      <c r="I15" s="21">
        <v>4.5</v>
      </c>
      <c r="J15" s="21"/>
      <c r="K15" s="21">
        <v>7.25</v>
      </c>
      <c r="L15" s="22">
        <f t="shared" si="0"/>
        <v>16.15</v>
      </c>
      <c r="M15" s="20" t="str">
        <f t="shared" si="1"/>
        <v>Sem Média</v>
      </c>
    </row>
    <row r="16" spans="1:13" s="6" customFormat="1" ht="12.75">
      <c r="A16" s="75">
        <v>7</v>
      </c>
      <c r="B16" s="86" t="s">
        <v>63</v>
      </c>
      <c r="C16" s="16"/>
      <c r="D16" s="17"/>
      <c r="E16" s="21">
        <v>0.72</v>
      </c>
      <c r="F16" s="21">
        <v>0.8</v>
      </c>
      <c r="G16" s="21">
        <v>0.72</v>
      </c>
      <c r="H16" s="21">
        <v>2.5</v>
      </c>
      <c r="I16" s="18">
        <v>0</v>
      </c>
      <c r="J16" s="21"/>
      <c r="K16" s="21">
        <v>9</v>
      </c>
      <c r="L16" s="22">
        <f t="shared" si="0"/>
        <v>13.74</v>
      </c>
      <c r="M16" s="20" t="str">
        <f t="shared" si="1"/>
        <v>Sem Média</v>
      </c>
    </row>
    <row r="17" spans="1:13" s="6" customFormat="1" ht="12.75">
      <c r="A17" s="75">
        <v>8</v>
      </c>
      <c r="B17" s="86" t="s">
        <v>64</v>
      </c>
      <c r="C17" s="16"/>
      <c r="D17" s="17"/>
      <c r="E17" s="21">
        <v>1</v>
      </c>
      <c r="F17" s="21">
        <v>1</v>
      </c>
      <c r="G17" s="21">
        <v>0.72</v>
      </c>
      <c r="H17" s="21">
        <v>2.5</v>
      </c>
      <c r="I17" s="21">
        <v>0.5</v>
      </c>
      <c r="J17" s="21"/>
      <c r="K17" s="21">
        <v>9</v>
      </c>
      <c r="L17" s="22">
        <f t="shared" si="0"/>
        <v>14.719999999999999</v>
      </c>
      <c r="M17" s="20" t="str">
        <f t="shared" si="1"/>
        <v>Sem Média</v>
      </c>
    </row>
    <row r="18" spans="1:13" s="6" customFormat="1" ht="12.75">
      <c r="A18" s="75">
        <v>9</v>
      </c>
      <c r="B18" s="86" t="s">
        <v>65</v>
      </c>
      <c r="C18" s="16"/>
      <c r="D18" s="17"/>
      <c r="E18" s="21">
        <v>1</v>
      </c>
      <c r="F18" s="21">
        <v>1</v>
      </c>
      <c r="G18" s="21">
        <v>1</v>
      </c>
      <c r="H18" s="21">
        <v>2</v>
      </c>
      <c r="I18" s="21">
        <v>5</v>
      </c>
      <c r="J18" s="21"/>
      <c r="K18" s="21">
        <v>8.75</v>
      </c>
      <c r="L18" s="22">
        <f t="shared" si="0"/>
        <v>18.75</v>
      </c>
      <c r="M18" s="20" t="str">
        <f t="shared" si="1"/>
        <v>Com Média</v>
      </c>
    </row>
    <row r="19" spans="1:13" s="6" customFormat="1" ht="12.75">
      <c r="A19" s="75">
        <v>10</v>
      </c>
      <c r="B19" s="86" t="s">
        <v>66</v>
      </c>
      <c r="C19" s="16"/>
      <c r="D19" s="17"/>
      <c r="E19" s="21">
        <v>1</v>
      </c>
      <c r="F19" s="21">
        <v>1</v>
      </c>
      <c r="G19" s="21">
        <v>1</v>
      </c>
      <c r="H19" s="21">
        <v>2.5</v>
      </c>
      <c r="I19" s="18">
        <v>0.5</v>
      </c>
      <c r="J19" s="21"/>
      <c r="K19" s="21">
        <v>9</v>
      </c>
      <c r="L19" s="22">
        <f t="shared" si="0"/>
        <v>15</v>
      </c>
      <c r="M19" s="20" t="str">
        <f t="shared" si="1"/>
        <v>Sem Média</v>
      </c>
    </row>
    <row r="20" spans="1:13" s="6" customFormat="1" ht="12.75">
      <c r="A20" s="75">
        <v>11</v>
      </c>
      <c r="B20" s="86" t="s">
        <v>67</v>
      </c>
      <c r="C20" s="16"/>
      <c r="D20" s="17"/>
      <c r="E20" s="21">
        <v>1</v>
      </c>
      <c r="F20" s="21">
        <v>1</v>
      </c>
      <c r="G20" s="21">
        <v>0.75</v>
      </c>
      <c r="H20" s="21">
        <v>1.8</v>
      </c>
      <c r="I20" s="21">
        <v>0.5</v>
      </c>
      <c r="J20" s="21"/>
      <c r="K20" s="21">
        <v>7.8</v>
      </c>
      <c r="L20" s="22">
        <f t="shared" si="0"/>
        <v>12.85</v>
      </c>
      <c r="M20" s="20" t="str">
        <f t="shared" si="1"/>
        <v>Sem Média</v>
      </c>
    </row>
    <row r="21" spans="1:13" s="6" customFormat="1" ht="12.75">
      <c r="A21" s="75">
        <v>12</v>
      </c>
      <c r="B21" s="86" t="s">
        <v>68</v>
      </c>
      <c r="C21" s="16"/>
      <c r="D21" s="17"/>
      <c r="E21" s="21">
        <v>0.5</v>
      </c>
      <c r="F21" s="21">
        <v>1</v>
      </c>
      <c r="G21" s="21">
        <v>1</v>
      </c>
      <c r="H21" s="21">
        <v>2.5</v>
      </c>
      <c r="I21" s="21">
        <v>4.5</v>
      </c>
      <c r="J21" s="21"/>
      <c r="K21" s="21">
        <v>10</v>
      </c>
      <c r="L21" s="22">
        <f t="shared" si="0"/>
        <v>19.5</v>
      </c>
      <c r="M21" s="20" t="str">
        <f t="shared" si="1"/>
        <v>Com Média</v>
      </c>
    </row>
    <row r="22" spans="1:13" s="6" customFormat="1" ht="12.75">
      <c r="A22" s="75">
        <v>13</v>
      </c>
      <c r="B22" s="86" t="s">
        <v>69</v>
      </c>
      <c r="C22" s="16"/>
      <c r="D22" s="17"/>
      <c r="E22" s="21">
        <v>1</v>
      </c>
      <c r="F22" s="21">
        <v>0.7</v>
      </c>
      <c r="G22" s="21">
        <v>0.7</v>
      </c>
      <c r="H22" s="21"/>
      <c r="I22" s="18">
        <v>5</v>
      </c>
      <c r="J22" s="21"/>
      <c r="K22" s="21">
        <v>8.75</v>
      </c>
      <c r="L22" s="22">
        <f t="shared" si="0"/>
        <v>16.15</v>
      </c>
      <c r="M22" s="20" t="str">
        <f t="shared" si="1"/>
        <v>Sem Média</v>
      </c>
    </row>
    <row r="23" spans="1:13" s="6" customFormat="1" ht="12.75">
      <c r="A23" s="75">
        <v>14</v>
      </c>
      <c r="B23" s="86" t="s">
        <v>70</v>
      </c>
      <c r="C23" s="16"/>
      <c r="D23" s="17"/>
      <c r="E23" s="21">
        <v>1</v>
      </c>
      <c r="F23" s="21">
        <v>1</v>
      </c>
      <c r="G23" s="21">
        <v>1</v>
      </c>
      <c r="H23" s="21">
        <v>2</v>
      </c>
      <c r="I23" s="21">
        <v>0.5</v>
      </c>
      <c r="J23" s="21"/>
      <c r="K23" s="21">
        <v>6.75</v>
      </c>
      <c r="L23" s="22">
        <f t="shared" si="0"/>
        <v>12.25</v>
      </c>
      <c r="M23" s="20" t="str">
        <f t="shared" si="1"/>
        <v>Sem Média</v>
      </c>
    </row>
    <row r="24" spans="1:13" s="6" customFormat="1" ht="12.75">
      <c r="A24" s="75">
        <v>15</v>
      </c>
      <c r="B24" s="86" t="s">
        <v>71</v>
      </c>
      <c r="C24" s="16"/>
      <c r="D24" s="17"/>
      <c r="E24" s="21">
        <v>0.7</v>
      </c>
      <c r="F24" s="21">
        <v>1</v>
      </c>
      <c r="G24" s="21">
        <v>1</v>
      </c>
      <c r="H24" s="21">
        <v>2.5</v>
      </c>
      <c r="I24" s="21">
        <v>0</v>
      </c>
      <c r="J24" s="21"/>
      <c r="K24" s="21">
        <v>8.5</v>
      </c>
      <c r="L24" s="22">
        <f t="shared" si="0"/>
        <v>13.7</v>
      </c>
      <c r="M24" s="20" t="str">
        <f t="shared" si="1"/>
        <v>Sem Média</v>
      </c>
    </row>
    <row r="25" spans="1:13" s="6" customFormat="1" ht="12.75">
      <c r="A25" s="75">
        <v>16</v>
      </c>
      <c r="B25" s="86" t="s">
        <v>72</v>
      </c>
      <c r="C25" s="16"/>
      <c r="D25" s="17"/>
      <c r="E25" s="21">
        <v>0.96</v>
      </c>
      <c r="F25" s="21">
        <v>0.96</v>
      </c>
      <c r="G25" s="21">
        <v>0.96</v>
      </c>
      <c r="H25" s="21">
        <v>2.5</v>
      </c>
      <c r="I25" s="18">
        <v>4.8</v>
      </c>
      <c r="J25" s="21"/>
      <c r="K25" s="21">
        <v>12</v>
      </c>
      <c r="L25" s="22">
        <f t="shared" si="0"/>
        <v>22.18</v>
      </c>
      <c r="M25" s="20" t="str">
        <f t="shared" si="1"/>
        <v>Com Média</v>
      </c>
    </row>
    <row r="26" spans="1:13" s="6" customFormat="1" ht="12.75">
      <c r="A26" s="75">
        <v>17</v>
      </c>
      <c r="B26" s="86" t="s">
        <v>73</v>
      </c>
      <c r="C26" s="16"/>
      <c r="D26" s="17"/>
      <c r="E26" s="21">
        <v>1</v>
      </c>
      <c r="F26" s="21">
        <v>1</v>
      </c>
      <c r="G26" s="21">
        <v>1</v>
      </c>
      <c r="H26" s="21">
        <v>1.75</v>
      </c>
      <c r="I26" s="21">
        <v>5</v>
      </c>
      <c r="J26" s="21"/>
      <c r="K26" s="21">
        <v>8.75</v>
      </c>
      <c r="L26" s="22">
        <f t="shared" si="0"/>
        <v>18.5</v>
      </c>
      <c r="M26" s="20" t="str">
        <f t="shared" si="1"/>
        <v>Com Média</v>
      </c>
    </row>
    <row r="27" spans="1:13" s="6" customFormat="1" ht="12.75">
      <c r="A27" s="75">
        <v>21</v>
      </c>
      <c r="B27" s="86" t="s">
        <v>75</v>
      </c>
      <c r="C27" s="16"/>
      <c r="D27" s="17"/>
      <c r="E27" s="21">
        <v>1</v>
      </c>
      <c r="F27" s="21">
        <v>1</v>
      </c>
      <c r="G27" s="21">
        <v>0.96</v>
      </c>
      <c r="H27" s="21">
        <v>1.8</v>
      </c>
      <c r="I27" s="21">
        <v>5</v>
      </c>
      <c r="J27" s="21"/>
      <c r="K27" s="21">
        <v>12</v>
      </c>
      <c r="L27" s="22">
        <f t="shared" si="0"/>
        <v>21.759999999999998</v>
      </c>
      <c r="M27" s="20" t="str">
        <f t="shared" si="1"/>
        <v>Com Média</v>
      </c>
    </row>
    <row r="28" spans="1:13" s="6" customFormat="1" ht="12.75">
      <c r="A28" s="75">
        <v>22</v>
      </c>
      <c r="B28" s="86" t="s">
        <v>76</v>
      </c>
      <c r="C28" s="16"/>
      <c r="D28" s="17"/>
      <c r="E28" s="21">
        <v>0.65</v>
      </c>
      <c r="F28" s="21">
        <v>0.65</v>
      </c>
      <c r="G28" s="21">
        <v>1</v>
      </c>
      <c r="H28" s="21">
        <v>2</v>
      </c>
      <c r="I28" s="18">
        <v>0</v>
      </c>
      <c r="J28" s="21"/>
      <c r="K28" s="21">
        <v>6.75</v>
      </c>
      <c r="L28" s="22">
        <f t="shared" si="0"/>
        <v>11.05</v>
      </c>
      <c r="M28" s="20" t="str">
        <f t="shared" si="1"/>
        <v>Sem Média</v>
      </c>
    </row>
    <row r="29" spans="1:13" s="6" customFormat="1" ht="12.75">
      <c r="A29" s="75">
        <v>23</v>
      </c>
      <c r="B29" s="86" t="s">
        <v>77</v>
      </c>
      <c r="C29" s="16"/>
      <c r="D29" s="17"/>
      <c r="E29" s="21">
        <v>1</v>
      </c>
      <c r="F29" s="21">
        <v>1</v>
      </c>
      <c r="G29" s="21">
        <v>1</v>
      </c>
      <c r="H29" s="21"/>
      <c r="I29" s="21">
        <v>0.5</v>
      </c>
      <c r="J29" s="21"/>
      <c r="K29" s="21">
        <v>10</v>
      </c>
      <c r="L29" s="22">
        <f t="shared" si="0"/>
        <v>13.5</v>
      </c>
      <c r="M29" s="20" t="str">
        <f t="shared" si="1"/>
        <v>Sem Média</v>
      </c>
    </row>
    <row r="30" spans="1:13" s="6" customFormat="1" ht="12.75">
      <c r="A30" s="75">
        <v>25</v>
      </c>
      <c r="B30" s="86" t="s">
        <v>79</v>
      </c>
      <c r="C30" s="16"/>
      <c r="D30" s="17"/>
      <c r="E30" s="21">
        <v>1</v>
      </c>
      <c r="F30" s="21">
        <v>1</v>
      </c>
      <c r="G30" s="21">
        <v>1</v>
      </c>
      <c r="H30" s="21">
        <v>2.5</v>
      </c>
      <c r="I30" s="21">
        <v>5</v>
      </c>
      <c r="J30" s="21"/>
      <c r="K30" s="21">
        <v>12.5</v>
      </c>
      <c r="L30" s="22">
        <f t="shared" si="0"/>
        <v>23</v>
      </c>
      <c r="M30" s="20" t="str">
        <f t="shared" si="1"/>
        <v>Com Média</v>
      </c>
    </row>
    <row r="31" spans="1:13" s="6" customFormat="1" ht="12.75">
      <c r="A31" s="75">
        <v>28</v>
      </c>
      <c r="B31" s="86" t="s">
        <v>80</v>
      </c>
      <c r="C31" s="16"/>
      <c r="D31" s="17"/>
      <c r="E31" s="21">
        <v>1</v>
      </c>
      <c r="F31" s="21">
        <v>1</v>
      </c>
      <c r="G31" s="21">
        <v>1</v>
      </c>
      <c r="H31" s="21"/>
      <c r="I31" s="18">
        <v>0</v>
      </c>
      <c r="J31" s="21"/>
      <c r="K31" s="21">
        <v>8.75</v>
      </c>
      <c r="L31" s="22">
        <f t="shared" si="0"/>
        <v>11.75</v>
      </c>
      <c r="M31" s="20" t="str">
        <f t="shared" si="1"/>
        <v>Sem Média</v>
      </c>
    </row>
    <row r="32" spans="1:13" s="6" customFormat="1" ht="12.75">
      <c r="A32" s="75">
        <v>29</v>
      </c>
      <c r="B32" s="86" t="s">
        <v>81</v>
      </c>
      <c r="C32" s="16"/>
      <c r="D32" s="17"/>
      <c r="E32" s="21">
        <v>1</v>
      </c>
      <c r="F32" s="21">
        <v>1</v>
      </c>
      <c r="G32" s="21">
        <v>1</v>
      </c>
      <c r="H32" s="21">
        <v>1.8</v>
      </c>
      <c r="I32" s="21">
        <v>4.5</v>
      </c>
      <c r="J32" s="21"/>
      <c r="K32" s="21">
        <v>10.75</v>
      </c>
      <c r="L32" s="22">
        <f t="shared" si="0"/>
        <v>20.05</v>
      </c>
      <c r="M32" s="20" t="str">
        <f t="shared" si="1"/>
        <v>Com Média</v>
      </c>
    </row>
    <row r="33" spans="1:13" s="6" customFormat="1" ht="12.75">
      <c r="A33" s="75">
        <v>30</v>
      </c>
      <c r="B33" s="86" t="s">
        <v>82</v>
      </c>
      <c r="C33" s="16"/>
      <c r="D33" s="17"/>
      <c r="E33" s="21">
        <v>0.88</v>
      </c>
      <c r="F33" s="21">
        <v>1</v>
      </c>
      <c r="G33" s="21">
        <v>0.88</v>
      </c>
      <c r="H33" s="21">
        <v>1.8</v>
      </c>
      <c r="I33" s="21">
        <v>4.5</v>
      </c>
      <c r="J33" s="21"/>
      <c r="K33" s="21">
        <v>11</v>
      </c>
      <c r="L33" s="22">
        <f t="shared" si="0"/>
        <v>20.06</v>
      </c>
      <c r="M33" s="20" t="str">
        <f t="shared" si="1"/>
        <v>Com Média</v>
      </c>
    </row>
    <row r="34" spans="1:13" s="6" customFormat="1" ht="12.75">
      <c r="A34" s="75">
        <v>31</v>
      </c>
      <c r="B34" s="86" t="s">
        <v>83</v>
      </c>
      <c r="C34" s="16"/>
      <c r="D34" s="17"/>
      <c r="E34" s="21">
        <v>1</v>
      </c>
      <c r="F34" s="21">
        <v>1</v>
      </c>
      <c r="G34" s="21">
        <v>1</v>
      </c>
      <c r="H34" s="21">
        <v>2</v>
      </c>
      <c r="I34" s="18">
        <v>5</v>
      </c>
      <c r="J34" s="21"/>
      <c r="K34" s="21">
        <v>10.25</v>
      </c>
      <c r="L34" s="22">
        <f t="shared" si="0"/>
        <v>20.25</v>
      </c>
      <c r="M34" s="20" t="str">
        <f t="shared" si="1"/>
        <v>Com Média</v>
      </c>
    </row>
    <row r="35" spans="1:13" s="6" customFormat="1" ht="12.75">
      <c r="A35" s="75">
        <v>32</v>
      </c>
      <c r="B35" s="86" t="s">
        <v>84</v>
      </c>
      <c r="C35" s="16"/>
      <c r="D35" s="17"/>
      <c r="E35" s="21">
        <v>1</v>
      </c>
      <c r="F35" s="21">
        <v>1</v>
      </c>
      <c r="G35" s="21">
        <v>1</v>
      </c>
      <c r="H35" s="21">
        <v>2.5</v>
      </c>
      <c r="I35" s="21">
        <v>5</v>
      </c>
      <c r="J35" s="21"/>
      <c r="K35" s="21">
        <v>9.5</v>
      </c>
      <c r="L35" s="22">
        <f t="shared" si="0"/>
        <v>20</v>
      </c>
      <c r="M35" s="20" t="str">
        <f t="shared" si="1"/>
        <v>Com Média</v>
      </c>
    </row>
    <row r="36" spans="1:13" s="6" customFormat="1" ht="12.75">
      <c r="A36" s="75">
        <v>33</v>
      </c>
      <c r="B36" s="86" t="s">
        <v>85</v>
      </c>
      <c r="C36" s="16"/>
      <c r="D36" s="17"/>
      <c r="E36" s="21">
        <v>0.42</v>
      </c>
      <c r="F36" s="21">
        <v>1</v>
      </c>
      <c r="G36" s="21">
        <v>1</v>
      </c>
      <c r="H36" s="21">
        <v>2.5</v>
      </c>
      <c r="I36" s="21">
        <v>5</v>
      </c>
      <c r="J36" s="21"/>
      <c r="K36" s="21">
        <v>5.25</v>
      </c>
      <c r="L36" s="22">
        <f t="shared" si="0"/>
        <v>15.17</v>
      </c>
      <c r="M36" s="20" t="str">
        <f t="shared" si="1"/>
        <v>Sem Média</v>
      </c>
    </row>
    <row r="37" spans="1:13" s="6" customFormat="1" ht="12.75">
      <c r="A37" s="75">
        <v>34</v>
      </c>
      <c r="B37" s="86" t="s">
        <v>86</v>
      </c>
      <c r="C37" s="16"/>
      <c r="D37" s="17"/>
      <c r="E37" s="21">
        <v>1</v>
      </c>
      <c r="F37" s="21">
        <v>1</v>
      </c>
      <c r="G37" s="21">
        <v>1</v>
      </c>
      <c r="H37" s="21">
        <v>1.5</v>
      </c>
      <c r="I37" s="18">
        <v>5</v>
      </c>
      <c r="J37" s="21"/>
      <c r="K37" s="21">
        <v>10</v>
      </c>
      <c r="L37" s="22">
        <f t="shared" si="0"/>
        <v>19.5</v>
      </c>
      <c r="M37" s="20" t="str">
        <f t="shared" si="1"/>
        <v>Com Média</v>
      </c>
    </row>
    <row r="38" spans="1:13" s="6" customFormat="1" ht="12.75">
      <c r="A38" s="75">
        <v>36</v>
      </c>
      <c r="B38" s="86" t="s">
        <v>88</v>
      </c>
      <c r="C38" s="16"/>
      <c r="D38" s="17"/>
      <c r="E38" s="21">
        <v>0.5</v>
      </c>
      <c r="F38" s="21">
        <v>1</v>
      </c>
      <c r="G38" s="21">
        <v>1</v>
      </c>
      <c r="H38" s="21">
        <v>2</v>
      </c>
      <c r="I38" s="21">
        <v>0</v>
      </c>
      <c r="J38" s="21"/>
      <c r="K38" s="21">
        <v>9.75</v>
      </c>
      <c r="L38" s="22">
        <f t="shared" si="0"/>
        <v>14.25</v>
      </c>
      <c r="M38" s="20" t="str">
        <f t="shared" si="1"/>
        <v>Sem Média</v>
      </c>
    </row>
    <row r="39" spans="1:13" s="6" customFormat="1" ht="12.75">
      <c r="A39" s="75">
        <v>39</v>
      </c>
      <c r="B39" s="86" t="s">
        <v>89</v>
      </c>
      <c r="C39" s="16"/>
      <c r="D39" s="17"/>
      <c r="E39" s="21">
        <v>0.82</v>
      </c>
      <c r="F39" s="21">
        <v>1</v>
      </c>
      <c r="G39" s="21">
        <v>1</v>
      </c>
      <c r="H39" s="21">
        <v>1.8</v>
      </c>
      <c r="I39" s="21">
        <v>0</v>
      </c>
      <c r="J39" s="21"/>
      <c r="K39" s="21">
        <v>10.25</v>
      </c>
      <c r="L39" s="22">
        <f t="shared" si="0"/>
        <v>14.870000000000001</v>
      </c>
      <c r="M39" s="20" t="str">
        <f t="shared" si="1"/>
        <v>Sem Média</v>
      </c>
    </row>
    <row r="40" spans="1:13" s="6" customFormat="1" ht="12">
      <c r="A40" s="58">
        <v>40</v>
      </c>
      <c r="B40" s="86" t="s">
        <v>90</v>
      </c>
      <c r="C40" s="16"/>
      <c r="D40" s="17"/>
      <c r="E40" s="21">
        <v>1</v>
      </c>
      <c r="F40" s="21">
        <v>1</v>
      </c>
      <c r="G40" s="21">
        <v>0.52</v>
      </c>
      <c r="H40" s="21">
        <v>2</v>
      </c>
      <c r="I40" s="18">
        <v>0.5</v>
      </c>
      <c r="J40" s="21"/>
      <c r="K40" s="21">
        <v>6.5</v>
      </c>
      <c r="L40" s="22">
        <f t="shared" si="0"/>
        <v>11.52</v>
      </c>
      <c r="M40" s="20" t="str">
        <f t="shared" si="1"/>
        <v>Sem Média</v>
      </c>
    </row>
    <row r="41" spans="1:13" s="6" customFormat="1" ht="12">
      <c r="A41" s="58">
        <v>42</v>
      </c>
      <c r="B41" s="86" t="s">
        <v>92</v>
      </c>
      <c r="C41" s="16"/>
      <c r="D41" s="17"/>
      <c r="E41" s="21">
        <v>1</v>
      </c>
      <c r="F41" s="21">
        <v>1</v>
      </c>
      <c r="G41" s="21">
        <v>0.5</v>
      </c>
      <c r="H41" s="21">
        <v>1.9</v>
      </c>
      <c r="I41" s="21">
        <v>5</v>
      </c>
      <c r="J41" s="21"/>
      <c r="K41" s="21">
        <v>6.25</v>
      </c>
      <c r="L41" s="22">
        <f t="shared" si="0"/>
        <v>15.65</v>
      </c>
      <c r="M41" s="20" t="str">
        <f aca="true" t="shared" si="2" ref="M41:M46">IF(L41&gt;=17.5,"Com Média",IF(L41=0,"-","Sem Média"))</f>
        <v>Sem Média</v>
      </c>
    </row>
    <row r="42" spans="1:13" s="6" customFormat="1" ht="12">
      <c r="A42" s="94">
        <v>43</v>
      </c>
      <c r="B42" s="86" t="s">
        <v>93</v>
      </c>
      <c r="C42" s="16"/>
      <c r="D42" s="17"/>
      <c r="E42" s="21">
        <v>1</v>
      </c>
      <c r="F42" s="21">
        <v>1</v>
      </c>
      <c r="G42" s="21">
        <v>1</v>
      </c>
      <c r="H42" s="21">
        <v>2.5</v>
      </c>
      <c r="I42" s="21">
        <v>5</v>
      </c>
      <c r="J42" s="21"/>
      <c r="K42" s="21">
        <v>10.5</v>
      </c>
      <c r="L42" s="22">
        <f t="shared" si="0"/>
        <v>21</v>
      </c>
      <c r="M42" s="20" t="str">
        <f t="shared" si="2"/>
        <v>Com Média</v>
      </c>
    </row>
    <row r="43" spans="1:13" s="6" customFormat="1" ht="12">
      <c r="A43" s="94">
        <v>44</v>
      </c>
      <c r="B43" s="86" t="s">
        <v>94</v>
      </c>
      <c r="C43" s="16"/>
      <c r="D43" s="17"/>
      <c r="E43" s="21">
        <v>1</v>
      </c>
      <c r="F43" s="21">
        <v>1</v>
      </c>
      <c r="G43" s="21">
        <v>1</v>
      </c>
      <c r="H43" s="21">
        <v>2.5</v>
      </c>
      <c r="I43" s="18">
        <v>5</v>
      </c>
      <c r="J43" s="21"/>
      <c r="K43" s="21">
        <v>9.3</v>
      </c>
      <c r="L43" s="22">
        <f t="shared" si="0"/>
        <v>19.8</v>
      </c>
      <c r="M43" s="20" t="str">
        <f t="shared" si="2"/>
        <v>Com Média</v>
      </c>
    </row>
    <row r="44" spans="1:13" s="6" customFormat="1" ht="12">
      <c r="A44" s="102">
        <v>45</v>
      </c>
      <c r="B44" s="24" t="s">
        <v>95</v>
      </c>
      <c r="C44" s="16"/>
      <c r="D44" s="17"/>
      <c r="E44" s="21">
        <v>1</v>
      </c>
      <c r="F44" s="21">
        <v>1</v>
      </c>
      <c r="G44" s="21">
        <v>1</v>
      </c>
      <c r="H44" s="21">
        <v>2.5</v>
      </c>
      <c r="I44" s="21">
        <v>5</v>
      </c>
      <c r="J44" s="21"/>
      <c r="K44" s="21">
        <v>11.25</v>
      </c>
      <c r="L44" s="22">
        <f t="shared" si="0"/>
        <v>21.75</v>
      </c>
      <c r="M44" s="20" t="str">
        <f t="shared" si="2"/>
        <v>Com Média</v>
      </c>
    </row>
    <row r="45" spans="1:13" s="6" customFormat="1" ht="12">
      <c r="A45" s="15" t="str">
        <f>IF($C$5=Alunos!$B$5,Alunos!A45,IF($C$5=Alunos!$E$5,Alunos!D45,IF($C$5=Alunos!$B$68,Alunos!A109,IF($C$5=Alunos!$E$68,Alunos!D105,"-"))))</f>
        <v>-</v>
      </c>
      <c r="B45" s="15" t="str">
        <f>IF($C$5=Alunos!$B$5,Alunos!B45,IF($C$5=Alunos!$E$5,Alunos!E45,IF($C$5=Alunos!$B$68,Alunos!B109,IF($C$5=Alunos!$E$68,Alunos!E105,"-"))))</f>
        <v>-</v>
      </c>
      <c r="C45" s="16"/>
      <c r="D45" s="17"/>
      <c r="E45" s="21">
        <v>0.5</v>
      </c>
      <c r="F45" s="21">
        <v>1</v>
      </c>
      <c r="G45" s="21">
        <v>1</v>
      </c>
      <c r="H45" s="21"/>
      <c r="I45" s="21">
        <v>4.8</v>
      </c>
      <c r="J45" s="21"/>
      <c r="K45" s="21">
        <v>10.25</v>
      </c>
      <c r="L45" s="22">
        <f t="shared" si="0"/>
        <v>17.55</v>
      </c>
      <c r="M45" s="20" t="str">
        <f t="shared" si="2"/>
        <v>Com Média</v>
      </c>
    </row>
    <row r="46" spans="1:13" s="6" customFormat="1" ht="12">
      <c r="A46" s="15" t="str">
        <f>IF($C$5=Alunos!$B$5,Alunos!A46,IF($C$5=Alunos!$E$5,Alunos!D46,IF($C$5=Alunos!$B$68,Alunos!A110,IF($C$5=Alunos!$E$68,Alunos!D106,"-"))))</f>
        <v>-</v>
      </c>
      <c r="B46" s="15" t="str">
        <f>IF($C$5=Alunos!$B$5,Alunos!B46,IF($C$5=Alunos!$E$5,Alunos!E46,IF($C$5=Alunos!$B$68,Alunos!B110,IF($C$5=Alunos!$E$68,Alunos!E106,"-"))))</f>
        <v>-</v>
      </c>
      <c r="C46" s="16"/>
      <c r="D46" s="17"/>
      <c r="E46" s="21"/>
      <c r="F46" s="21"/>
      <c r="G46" s="21"/>
      <c r="H46" s="21"/>
      <c r="I46" s="109"/>
      <c r="J46" s="21"/>
      <c r="K46" s="21"/>
      <c r="L46" s="22">
        <f t="shared" si="0"/>
        <v>0</v>
      </c>
      <c r="M46" s="20" t="str">
        <f t="shared" si="2"/>
        <v>-</v>
      </c>
    </row>
    <row r="47" spans="1:11" s="6" customFormat="1" ht="12.75">
      <c r="A47" s="64"/>
      <c r="B47" s="64"/>
      <c r="C47" s="1"/>
      <c r="D47" s="1"/>
      <c r="E47" s="1"/>
      <c r="F47" s="1"/>
      <c r="G47" s="1"/>
      <c r="H47" s="1"/>
      <c r="I47" s="1"/>
      <c r="J47" s="1"/>
      <c r="K47" s="1"/>
    </row>
    <row r="48" spans="1:11" s="6" customFormat="1" ht="12.75">
      <c r="A48" s="65"/>
      <c r="B48" s="65"/>
      <c r="C48" s="1"/>
      <c r="D48" s="1"/>
      <c r="E48" s="1"/>
      <c r="F48" s="1"/>
      <c r="G48" s="1"/>
      <c r="H48" s="1"/>
      <c r="I48" s="1"/>
      <c r="J48" s="1"/>
      <c r="K48" s="1"/>
    </row>
    <row r="49" spans="1:11" s="6" customFormat="1" ht="12.75">
      <c r="A49" s="1"/>
      <c r="B49" s="1"/>
      <c r="C49" s="137" t="s">
        <v>16</v>
      </c>
      <c r="D49" s="137"/>
      <c r="E49" s="137"/>
      <c r="F49" s="1"/>
      <c r="G49" s="1"/>
      <c r="H49" s="1"/>
      <c r="I49" s="1"/>
      <c r="J49" s="1"/>
      <c r="K49" s="1"/>
    </row>
    <row r="50" spans="1:11" s="6" customFormat="1" ht="12.75">
      <c r="A50" s="1"/>
      <c r="B50" s="1"/>
      <c r="C50" s="154" t="s">
        <v>17</v>
      </c>
      <c r="D50" s="154"/>
      <c r="E50" s="23">
        <f>COUNTIF(M12:M46,"Com Média")</f>
        <v>16</v>
      </c>
      <c r="F50" s="1"/>
      <c r="G50" s="1"/>
      <c r="H50" s="1"/>
      <c r="I50" s="1"/>
      <c r="J50" s="1"/>
      <c r="K50" s="1"/>
    </row>
    <row r="51" spans="1:11" s="6" customFormat="1" ht="12.75">
      <c r="A51" s="1"/>
      <c r="B51" s="1"/>
      <c r="C51" s="154" t="s">
        <v>18</v>
      </c>
      <c r="D51" s="154"/>
      <c r="E51" s="23">
        <f>COUNTIF(M12:M46,"Sem Média")</f>
        <v>17</v>
      </c>
      <c r="F51" s="1"/>
      <c r="G51" s="1"/>
      <c r="H51" s="1"/>
      <c r="I51" s="1"/>
      <c r="J51" s="1"/>
      <c r="K51" s="1"/>
    </row>
    <row r="52" spans="1:11" s="6" customFormat="1" ht="12.75">
      <c r="A52" s="1"/>
      <c r="B52" s="1"/>
      <c r="C52" s="154" t="s">
        <v>19</v>
      </c>
      <c r="D52" s="154"/>
      <c r="E52" s="23">
        <f>SUM(E50:E51)</f>
        <v>33</v>
      </c>
      <c r="F52" s="1"/>
      <c r="G52" s="1"/>
      <c r="H52" s="1"/>
      <c r="I52" s="1"/>
      <c r="J52" s="1"/>
      <c r="K52" s="1"/>
    </row>
    <row r="53" spans="1:11" s="6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6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6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6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6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6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6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6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6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6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6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6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6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6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6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6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6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sheetProtection/>
  <mergeCells count="21">
    <mergeCell ref="C52:D52"/>
    <mergeCell ref="A9:A12"/>
    <mergeCell ref="B9:C12"/>
    <mergeCell ref="D9:D12"/>
    <mergeCell ref="C49:E49"/>
    <mergeCell ref="C50:D50"/>
    <mergeCell ref="C51:D51"/>
    <mergeCell ref="M9:M12"/>
    <mergeCell ref="L9:L11"/>
    <mergeCell ref="A5:B5"/>
    <mergeCell ref="D5:E5"/>
    <mergeCell ref="F5:I5"/>
    <mergeCell ref="J5:K5"/>
    <mergeCell ref="E6:I6"/>
    <mergeCell ref="C1:H2"/>
    <mergeCell ref="I1:I2"/>
    <mergeCell ref="J1:K2"/>
    <mergeCell ref="A4:B4"/>
    <mergeCell ref="D4:E4"/>
    <mergeCell ref="F4:I4"/>
    <mergeCell ref="J4:K4"/>
  </mergeCells>
  <conditionalFormatting sqref="L13:L46">
    <cfRule type="cellIs" priority="1" dxfId="0" operator="lessThan" stopIfTrue="1">
      <formula>17.5</formula>
    </cfRule>
    <cfRule type="cellIs" priority="2" dxfId="1" operator="greaterThanOrEqual" stopIfTrue="1">
      <formula>17.5</formula>
    </cfRule>
  </conditionalFormatting>
  <conditionalFormatting sqref="M13:M46">
    <cfRule type="cellIs" priority="3" dxfId="1" operator="equal" stopIfTrue="1">
      <formula>"Com Média"</formula>
    </cfRule>
    <cfRule type="cellIs" priority="4" dxfId="0" operator="equal" stopIfTrue="1">
      <formula>"Sem Média"</formula>
    </cfRule>
  </conditionalFormatting>
  <conditionalFormatting sqref="E13:E46">
    <cfRule type="cellIs" priority="5" dxfId="2" operator="greaterThan" stopIfTrue="1">
      <formula>$E$12</formula>
    </cfRule>
  </conditionalFormatting>
  <conditionalFormatting sqref="F13:F46">
    <cfRule type="cellIs" priority="6" dxfId="2" operator="greaterThan" stopIfTrue="1">
      <formula>$F$12</formula>
    </cfRule>
  </conditionalFormatting>
  <conditionalFormatting sqref="G13:G46">
    <cfRule type="cellIs" priority="7" dxfId="2" operator="greaterThan" stopIfTrue="1">
      <formula>$G$12</formula>
    </cfRule>
  </conditionalFormatting>
  <conditionalFormatting sqref="H13:J46">
    <cfRule type="cellIs" priority="8" dxfId="2" operator="greaterThan" stopIfTrue="1">
      <formula>$H$12</formula>
    </cfRule>
  </conditionalFormatting>
  <conditionalFormatting sqref="K13:K46">
    <cfRule type="cellIs" priority="9" dxfId="2" operator="greaterThan" stopIfTrue="1">
      <formula>$K$12</formula>
    </cfRule>
  </conditionalFormatting>
  <conditionalFormatting sqref="L12">
    <cfRule type="cellIs" priority="10" dxfId="3" operator="greaterThan" stopIfTrue="1">
      <formula>25</formula>
    </cfRule>
  </conditionalFormatting>
  <printOptions/>
  <pageMargins left="0.35" right="0.28" top="0.38" bottom="0.33" header="0.28" footer="0.21"/>
  <pageSetup horizontalDpi="600" verticalDpi="600" orientation="portrait" paperSize="9" scale="8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9.28125" style="1" customWidth="1"/>
    <col min="3" max="3" width="25.28125" style="1" customWidth="1"/>
    <col min="4" max="4" width="7.00390625" style="1" customWidth="1"/>
    <col min="5" max="5" width="9.28125" style="1" customWidth="1"/>
    <col min="6" max="9" width="9.421875" style="1" customWidth="1"/>
    <col min="10" max="10" width="12.57421875" style="1" customWidth="1"/>
    <col min="11" max="11" width="11.421875" style="1" customWidth="1"/>
    <col min="12" max="12" width="10.00390625" style="1" customWidth="1"/>
    <col min="13" max="13" width="15.421875" style="1" customWidth="1"/>
    <col min="14" max="16384" width="9.140625" style="1" customWidth="1"/>
  </cols>
  <sheetData>
    <row r="1" spans="2:13" ht="12.75" customHeight="1">
      <c r="B1" s="2"/>
      <c r="C1" s="147" t="s">
        <v>0</v>
      </c>
      <c r="D1" s="147"/>
      <c r="E1" s="147"/>
      <c r="F1" s="147"/>
      <c r="G1" s="147"/>
      <c r="H1" s="147"/>
      <c r="I1" s="148" t="s">
        <v>22</v>
      </c>
      <c r="J1" s="150" t="s">
        <v>1</v>
      </c>
      <c r="K1" s="150"/>
      <c r="L1" s="120" t="s">
        <v>23</v>
      </c>
      <c r="M1" s="120"/>
    </row>
    <row r="2" spans="1:13" ht="12.75" customHeight="1">
      <c r="A2" s="2"/>
      <c r="B2" s="2"/>
      <c r="C2" s="147"/>
      <c r="D2" s="147"/>
      <c r="E2" s="147"/>
      <c r="F2" s="147"/>
      <c r="G2" s="147"/>
      <c r="H2" s="147"/>
      <c r="I2" s="149"/>
      <c r="J2" s="151"/>
      <c r="K2" s="151"/>
      <c r="L2" s="120"/>
      <c r="M2" s="120"/>
    </row>
    <row r="3" spans="10:13" ht="13.5" thickBot="1">
      <c r="J3" s="3"/>
      <c r="L3" s="120"/>
      <c r="M3" s="120"/>
    </row>
    <row r="4" spans="1:13" s="6" customFormat="1" ht="12">
      <c r="A4" s="143" t="s">
        <v>2</v>
      </c>
      <c r="B4" s="143"/>
      <c r="C4" s="5" t="str">
        <f>Menu!C17</f>
        <v>ADM de Agronegocio</v>
      </c>
      <c r="D4" s="143" t="s">
        <v>3</v>
      </c>
      <c r="E4" s="143"/>
      <c r="F4" s="152" t="str">
        <f>Menu!C9</f>
        <v>Wesley Antônio Gonçalves</v>
      </c>
      <c r="G4" s="152"/>
      <c r="H4" s="152"/>
      <c r="I4" s="152"/>
      <c r="J4" s="153" t="s">
        <v>4</v>
      </c>
      <c r="K4" s="159"/>
      <c r="L4" s="121" t="s">
        <v>24</v>
      </c>
      <c r="M4" s="156"/>
    </row>
    <row r="5" spans="1:13" s="6" customFormat="1" ht="15.75">
      <c r="A5" s="143" t="s">
        <v>5</v>
      </c>
      <c r="B5" s="143"/>
      <c r="C5" s="7" t="str">
        <f>Menu!H17</f>
        <v>ADM41</v>
      </c>
      <c r="D5" s="143" t="s">
        <v>6</v>
      </c>
      <c r="E5" s="143"/>
      <c r="F5" s="144" t="str">
        <f>Menu!E13</f>
        <v>Sistemas de Informação Gerencial</v>
      </c>
      <c r="G5" s="144"/>
      <c r="H5" s="144"/>
      <c r="I5" s="144"/>
      <c r="J5" s="145">
        <f ca="1">NOW()</f>
        <v>39065.43437986111</v>
      </c>
      <c r="K5" s="160"/>
      <c r="L5" s="157">
        <v>38339</v>
      </c>
      <c r="M5" s="158"/>
    </row>
    <row r="6" spans="1:13" s="6" customFormat="1" ht="15.75">
      <c r="A6" s="4"/>
      <c r="B6" s="4"/>
      <c r="C6" s="76"/>
      <c r="D6" s="4"/>
      <c r="E6" s="123" t="s">
        <v>56</v>
      </c>
      <c r="F6" s="124"/>
      <c r="G6" s="124"/>
      <c r="H6" s="124"/>
      <c r="I6" s="125"/>
      <c r="J6" s="79"/>
      <c r="K6" s="78"/>
      <c r="L6" s="85"/>
      <c r="M6" s="85"/>
    </row>
    <row r="7" spans="1:13" s="6" customFormat="1" ht="15.75">
      <c r="A7" s="4"/>
      <c r="B7" s="77"/>
      <c r="C7" s="78"/>
      <c r="D7" s="4"/>
      <c r="E7" s="80"/>
      <c r="F7" s="82"/>
      <c r="G7" s="82"/>
      <c r="H7" s="82"/>
      <c r="I7" s="82"/>
      <c r="J7" s="79"/>
      <c r="K7" s="78"/>
      <c r="L7" s="85"/>
      <c r="M7" s="85"/>
    </row>
    <row r="8" spans="3:10" s="6" customFormat="1" ht="12">
      <c r="C8" s="74"/>
      <c r="E8" s="81"/>
      <c r="F8" s="81"/>
      <c r="G8" s="81"/>
      <c r="H8" s="81"/>
      <c r="I8" s="81"/>
      <c r="J8" s="9"/>
    </row>
    <row r="9" spans="1:13" s="6" customFormat="1" ht="12.75" thickBot="1">
      <c r="A9" s="130" t="s">
        <v>9</v>
      </c>
      <c r="B9" s="131" t="s">
        <v>10</v>
      </c>
      <c r="C9" s="132"/>
      <c r="D9" s="161" t="s">
        <v>11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40" t="s">
        <v>13</v>
      </c>
      <c r="K9" s="137" t="s">
        <v>14</v>
      </c>
      <c r="L9" s="119" t="s">
        <v>25</v>
      </c>
      <c r="M9" s="119" t="s">
        <v>26</v>
      </c>
    </row>
    <row r="10" spans="1:13" s="6" customFormat="1" ht="13.5" customHeight="1" thickBot="1">
      <c r="A10" s="130"/>
      <c r="B10" s="133"/>
      <c r="C10" s="134"/>
      <c r="D10" s="162"/>
      <c r="E10" s="11"/>
      <c r="F10" s="11"/>
      <c r="G10" s="11"/>
      <c r="H10" s="11"/>
      <c r="I10" s="11"/>
      <c r="J10" s="141"/>
      <c r="K10" s="137"/>
      <c r="L10" s="119"/>
      <c r="M10" s="119"/>
    </row>
    <row r="11" spans="1:13" s="6" customFormat="1" ht="13.5" customHeight="1" thickBot="1">
      <c r="A11" s="130"/>
      <c r="B11" s="133"/>
      <c r="C11" s="134"/>
      <c r="D11" s="161"/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42"/>
      <c r="K11" s="137"/>
      <c r="L11" s="119"/>
      <c r="M11" s="119"/>
    </row>
    <row r="12" spans="1:13" s="6" customFormat="1" ht="12.75" thickBot="1">
      <c r="A12" s="130"/>
      <c r="B12" s="135"/>
      <c r="C12" s="136"/>
      <c r="D12" s="162"/>
      <c r="E12" s="13"/>
      <c r="F12" s="13"/>
      <c r="G12" s="13"/>
      <c r="H12" s="13"/>
      <c r="I12" s="13"/>
      <c r="J12" s="14">
        <f aca="true" t="shared" si="0" ref="J12:J43">IF(SUM(E12:I12)&lt;=25,SUM(E12:I12),"Vr. maior 25,00")</f>
        <v>0</v>
      </c>
      <c r="K12" s="139"/>
      <c r="L12" s="119"/>
      <c r="M12" s="119"/>
    </row>
    <row r="13" spans="1:13" s="6" customFormat="1" ht="12.75">
      <c r="A13" s="99">
        <v>1</v>
      </c>
      <c r="B13" s="86" t="s">
        <v>59</v>
      </c>
      <c r="C13" s="16"/>
      <c r="D13" s="17"/>
      <c r="E13" s="18"/>
      <c r="F13" s="18"/>
      <c r="G13" s="18"/>
      <c r="H13" s="18"/>
      <c r="I13" s="18"/>
      <c r="J13" s="19">
        <f t="shared" si="0"/>
        <v>0</v>
      </c>
      <c r="K13" s="20" t="str">
        <f aca="true" t="shared" si="1" ref="K13:K44">IF(J13&gt;=17.5,"Com Média",IF(J13=0,"-","Sem Média"))</f>
        <v>-</v>
      </c>
      <c r="L13" s="26">
        <f>SUM('Fechamento 1'!E12:H12)</f>
        <v>44.41</v>
      </c>
      <c r="M13" s="20" t="str">
        <f aca="true" t="shared" si="2" ref="M13:M44">IF(L13&gt;=70,"APROVADO",IF(L13=0,"-","PROVA ESPECIAL"))</f>
        <v>PROVA ESPECIAL</v>
      </c>
    </row>
    <row r="14" spans="1:13" s="6" customFormat="1" ht="12">
      <c r="A14" s="58">
        <v>2</v>
      </c>
      <c r="B14" s="86" t="s">
        <v>60</v>
      </c>
      <c r="C14" s="16"/>
      <c r="D14" s="17"/>
      <c r="E14" s="21"/>
      <c r="F14" s="21"/>
      <c r="G14" s="21"/>
      <c r="H14" s="21"/>
      <c r="I14" s="21"/>
      <c r="J14" s="22">
        <f t="shared" si="0"/>
        <v>0</v>
      </c>
      <c r="K14" s="20" t="str">
        <f t="shared" si="1"/>
        <v>-</v>
      </c>
      <c r="L14" s="26" t="e">
        <f>SUM('Fechamento 1'!E13:H13)</f>
        <v>#REF!</v>
      </c>
      <c r="M14" s="20" t="e">
        <f t="shared" si="2"/>
        <v>#REF!</v>
      </c>
    </row>
    <row r="15" spans="1:13" s="6" customFormat="1" ht="12">
      <c r="A15" s="58">
        <v>3</v>
      </c>
      <c r="B15" s="86" t="s">
        <v>61</v>
      </c>
      <c r="C15" s="16"/>
      <c r="D15" s="17"/>
      <c r="E15" s="21"/>
      <c r="F15" s="21"/>
      <c r="G15" s="21"/>
      <c r="H15" s="21"/>
      <c r="I15" s="21"/>
      <c r="J15" s="22">
        <f t="shared" si="0"/>
        <v>0</v>
      </c>
      <c r="K15" s="20" t="str">
        <f t="shared" si="1"/>
        <v>-</v>
      </c>
      <c r="L15" s="26">
        <f>SUM('Fechamento 1'!E14:H14)</f>
        <v>44.97</v>
      </c>
      <c r="M15" s="20" t="str">
        <f t="shared" si="2"/>
        <v>PROVA ESPECIAL</v>
      </c>
    </row>
    <row r="16" spans="1:13" s="6" customFormat="1" ht="12">
      <c r="A16" s="58">
        <v>6</v>
      </c>
      <c r="B16" s="86" t="s">
        <v>62</v>
      </c>
      <c r="C16" s="16"/>
      <c r="D16" s="17"/>
      <c r="E16" s="21"/>
      <c r="F16" s="21"/>
      <c r="G16" s="21"/>
      <c r="H16" s="21"/>
      <c r="I16" s="21"/>
      <c r="J16" s="22">
        <f t="shared" si="0"/>
        <v>0</v>
      </c>
      <c r="K16" s="20" t="str">
        <f t="shared" si="1"/>
        <v>-</v>
      </c>
      <c r="L16" s="26">
        <f>SUM('Fechamento 1'!E15:H15)</f>
        <v>42.49</v>
      </c>
      <c r="M16" s="20" t="str">
        <f t="shared" si="2"/>
        <v>PROVA ESPECIAL</v>
      </c>
    </row>
    <row r="17" spans="1:13" s="6" customFormat="1" ht="12.75">
      <c r="A17" s="75">
        <v>7</v>
      </c>
      <c r="B17" s="86" t="s">
        <v>63</v>
      </c>
      <c r="C17" s="16"/>
      <c r="D17" s="17"/>
      <c r="E17" s="21"/>
      <c r="F17" s="21"/>
      <c r="G17" s="21"/>
      <c r="H17" s="21"/>
      <c r="I17" s="21"/>
      <c r="J17" s="22">
        <f t="shared" si="0"/>
        <v>0</v>
      </c>
      <c r="K17" s="20" t="str">
        <f t="shared" si="1"/>
        <v>-</v>
      </c>
      <c r="L17" s="26">
        <f>SUM('Fechamento 1'!E16:H16)</f>
        <v>45.230000000000004</v>
      </c>
      <c r="M17" s="20" t="str">
        <f t="shared" si="2"/>
        <v>PROVA ESPECIAL</v>
      </c>
    </row>
    <row r="18" spans="1:13" s="6" customFormat="1" ht="12.75">
      <c r="A18" s="75">
        <v>8</v>
      </c>
      <c r="B18" s="86" t="s">
        <v>64</v>
      </c>
      <c r="C18" s="16"/>
      <c r="D18" s="17"/>
      <c r="E18" s="21"/>
      <c r="F18" s="21"/>
      <c r="G18" s="21"/>
      <c r="H18" s="21"/>
      <c r="I18" s="21"/>
      <c r="J18" s="22">
        <f t="shared" si="0"/>
        <v>0</v>
      </c>
      <c r="K18" s="20" t="str">
        <f t="shared" si="1"/>
        <v>-</v>
      </c>
      <c r="L18" s="26">
        <f>SUM('Fechamento 1'!E17:H17)</f>
        <v>40.83</v>
      </c>
      <c r="M18" s="20" t="str">
        <f t="shared" si="2"/>
        <v>PROVA ESPECIAL</v>
      </c>
    </row>
    <row r="19" spans="1:13" s="6" customFormat="1" ht="12.75">
      <c r="A19" s="75">
        <v>9</v>
      </c>
      <c r="B19" s="86" t="s">
        <v>65</v>
      </c>
      <c r="C19" s="16"/>
      <c r="D19" s="17"/>
      <c r="E19" s="21"/>
      <c r="F19" s="21"/>
      <c r="G19" s="21"/>
      <c r="H19" s="21"/>
      <c r="I19" s="21"/>
      <c r="J19" s="22">
        <f t="shared" si="0"/>
        <v>0</v>
      </c>
      <c r="K19" s="20" t="str">
        <f t="shared" si="1"/>
        <v>-</v>
      </c>
      <c r="L19" s="26">
        <f>SUM('Fechamento 1'!E18:H18)</f>
        <v>47.83</v>
      </c>
      <c r="M19" s="20" t="str">
        <f t="shared" si="2"/>
        <v>PROVA ESPECIAL</v>
      </c>
    </row>
    <row r="20" spans="1:13" s="6" customFormat="1" ht="12.75">
      <c r="A20" s="75">
        <v>10</v>
      </c>
      <c r="B20" s="86" t="s">
        <v>66</v>
      </c>
      <c r="C20" s="16"/>
      <c r="D20" s="17"/>
      <c r="E20" s="21"/>
      <c r="F20" s="21"/>
      <c r="G20" s="21"/>
      <c r="H20" s="21"/>
      <c r="I20" s="21"/>
      <c r="J20" s="22">
        <f t="shared" si="0"/>
        <v>0</v>
      </c>
      <c r="K20" s="20" t="str">
        <f t="shared" si="1"/>
        <v>-</v>
      </c>
      <c r="L20" s="26">
        <f>SUM('Fechamento 1'!E19:H19)</f>
        <v>42.97</v>
      </c>
      <c r="M20" s="20" t="str">
        <f t="shared" si="2"/>
        <v>PROVA ESPECIAL</v>
      </c>
    </row>
    <row r="21" spans="1:13" s="6" customFormat="1" ht="12.75">
      <c r="A21" s="75">
        <v>11</v>
      </c>
      <c r="B21" s="86" t="s">
        <v>67</v>
      </c>
      <c r="C21" s="16"/>
      <c r="D21" s="17"/>
      <c r="E21" s="21"/>
      <c r="F21" s="21"/>
      <c r="G21" s="21"/>
      <c r="H21" s="21"/>
      <c r="I21" s="21"/>
      <c r="J21" s="22">
        <f t="shared" si="0"/>
        <v>0</v>
      </c>
      <c r="K21" s="20" t="str">
        <f t="shared" si="1"/>
        <v>-</v>
      </c>
      <c r="L21" s="26">
        <f>SUM('Fechamento 1'!E20:H20)</f>
        <v>41.589999999999996</v>
      </c>
      <c r="M21" s="20" t="str">
        <f t="shared" si="2"/>
        <v>PROVA ESPECIAL</v>
      </c>
    </row>
    <row r="22" spans="1:13" s="6" customFormat="1" ht="12.75">
      <c r="A22" s="75">
        <v>12</v>
      </c>
      <c r="B22" s="86" t="s">
        <v>68</v>
      </c>
      <c r="C22" s="16"/>
      <c r="D22" s="17"/>
      <c r="E22" s="21"/>
      <c r="F22" s="21"/>
      <c r="G22" s="21"/>
      <c r="H22" s="21"/>
      <c r="I22" s="21"/>
      <c r="J22" s="22">
        <f t="shared" si="0"/>
        <v>0</v>
      </c>
      <c r="K22" s="20" t="str">
        <f t="shared" si="1"/>
        <v>-</v>
      </c>
      <c r="L22" s="26">
        <f>SUM('Fechamento 1'!E21:H21)</f>
        <v>48.44</v>
      </c>
      <c r="M22" s="20" t="str">
        <f t="shared" si="2"/>
        <v>PROVA ESPECIAL</v>
      </c>
    </row>
    <row r="23" spans="1:13" s="6" customFormat="1" ht="12.75">
      <c r="A23" s="75">
        <v>13</v>
      </c>
      <c r="B23" s="86" t="s">
        <v>69</v>
      </c>
      <c r="C23" s="16"/>
      <c r="D23" s="17"/>
      <c r="E23" s="21"/>
      <c r="F23" s="21"/>
      <c r="G23" s="21"/>
      <c r="H23" s="21"/>
      <c r="I23" s="21"/>
      <c r="J23" s="22">
        <f t="shared" si="0"/>
        <v>0</v>
      </c>
      <c r="K23" s="20" t="str">
        <f t="shared" si="1"/>
        <v>-</v>
      </c>
      <c r="L23" s="26">
        <f>SUM('Fechamento 1'!E22:H22)</f>
        <v>47.4</v>
      </c>
      <c r="M23" s="20" t="str">
        <f t="shared" si="2"/>
        <v>PROVA ESPECIAL</v>
      </c>
    </row>
    <row r="24" spans="1:13" s="6" customFormat="1" ht="12.75">
      <c r="A24" s="75">
        <v>14</v>
      </c>
      <c r="B24" s="86" t="s">
        <v>70</v>
      </c>
      <c r="C24" s="16"/>
      <c r="D24" s="17"/>
      <c r="E24" s="21"/>
      <c r="F24" s="21"/>
      <c r="G24" s="21"/>
      <c r="H24" s="21"/>
      <c r="I24" s="21"/>
      <c r="J24" s="22">
        <f t="shared" si="0"/>
        <v>0</v>
      </c>
      <c r="K24" s="20" t="str">
        <f t="shared" si="1"/>
        <v>-</v>
      </c>
      <c r="L24" s="26">
        <f>SUM('Fechamento 1'!E23:H23)</f>
        <v>38.28</v>
      </c>
      <c r="M24" s="20" t="str">
        <f t="shared" si="2"/>
        <v>PROVA ESPECIAL</v>
      </c>
    </row>
    <row r="25" spans="1:13" s="6" customFormat="1" ht="12.75">
      <c r="A25" s="75">
        <v>15</v>
      </c>
      <c r="B25" s="86" t="s">
        <v>71</v>
      </c>
      <c r="C25" s="16"/>
      <c r="D25" s="17"/>
      <c r="E25" s="21"/>
      <c r="F25" s="21"/>
      <c r="G25" s="21"/>
      <c r="H25" s="21"/>
      <c r="I25" s="21"/>
      <c r="J25" s="22">
        <f t="shared" si="0"/>
        <v>0</v>
      </c>
      <c r="K25" s="20" t="str">
        <f t="shared" si="1"/>
        <v>-</v>
      </c>
      <c r="L25" s="26">
        <f>SUM('Fechamento 1'!E24:H24)</f>
        <v>41.879999999999995</v>
      </c>
      <c r="M25" s="20" t="str">
        <f t="shared" si="2"/>
        <v>PROVA ESPECIAL</v>
      </c>
    </row>
    <row r="26" spans="1:13" s="6" customFormat="1" ht="12.75">
      <c r="A26" s="75">
        <v>16</v>
      </c>
      <c r="B26" s="86" t="s">
        <v>72</v>
      </c>
      <c r="C26" s="16"/>
      <c r="D26" s="17"/>
      <c r="E26" s="21"/>
      <c r="F26" s="21"/>
      <c r="G26" s="21"/>
      <c r="H26" s="21"/>
      <c r="I26" s="21"/>
      <c r="J26" s="22">
        <f t="shared" si="0"/>
        <v>0</v>
      </c>
      <c r="K26" s="20" t="str">
        <f t="shared" si="1"/>
        <v>-</v>
      </c>
      <c r="L26" s="26">
        <f>SUM('Fechamento 1'!E25:H25)</f>
        <v>54.48</v>
      </c>
      <c r="M26" s="20" t="str">
        <f t="shared" si="2"/>
        <v>PROVA ESPECIAL</v>
      </c>
    </row>
    <row r="27" spans="1:13" s="6" customFormat="1" ht="12.75">
      <c r="A27" s="75">
        <v>17</v>
      </c>
      <c r="B27" s="86" t="s">
        <v>73</v>
      </c>
      <c r="C27" s="16"/>
      <c r="D27" s="17"/>
      <c r="E27" s="21"/>
      <c r="F27" s="21"/>
      <c r="G27" s="21"/>
      <c r="H27" s="21"/>
      <c r="I27" s="21"/>
      <c r="J27" s="22">
        <f t="shared" si="0"/>
        <v>0</v>
      </c>
      <c r="K27" s="20" t="str">
        <f t="shared" si="1"/>
        <v>-</v>
      </c>
      <c r="L27" s="26">
        <f>SUM('Fechamento 1'!E26:H26)</f>
        <v>47.2</v>
      </c>
      <c r="M27" s="20" t="str">
        <f t="shared" si="2"/>
        <v>PROVA ESPECIAL</v>
      </c>
    </row>
    <row r="28" spans="1:13" s="6" customFormat="1" ht="12.75">
      <c r="A28" s="75">
        <v>18</v>
      </c>
      <c r="B28" s="86" t="s">
        <v>74</v>
      </c>
      <c r="C28" s="16"/>
      <c r="D28" s="17"/>
      <c r="E28" s="21"/>
      <c r="F28" s="21"/>
      <c r="G28" s="21"/>
      <c r="H28" s="21"/>
      <c r="I28" s="21"/>
      <c r="J28" s="22">
        <f t="shared" si="0"/>
        <v>0</v>
      </c>
      <c r="K28" s="20" t="str">
        <f t="shared" si="1"/>
        <v>-</v>
      </c>
      <c r="L28" s="26" t="e">
        <f>SUM('Fechamento 1'!E27:H27)</f>
        <v>#REF!</v>
      </c>
      <c r="M28" s="20" t="e">
        <f t="shared" si="2"/>
        <v>#REF!</v>
      </c>
    </row>
    <row r="29" spans="1:13" s="6" customFormat="1" ht="12.75">
      <c r="A29" s="75">
        <v>21</v>
      </c>
      <c r="B29" s="86" t="s">
        <v>75</v>
      </c>
      <c r="C29" s="16"/>
      <c r="D29" s="17"/>
      <c r="E29" s="21"/>
      <c r="F29" s="21"/>
      <c r="G29" s="21"/>
      <c r="H29" s="21"/>
      <c r="I29" s="21"/>
      <c r="J29" s="22">
        <f t="shared" si="0"/>
        <v>0</v>
      </c>
      <c r="K29" s="20" t="str">
        <f t="shared" si="1"/>
        <v>-</v>
      </c>
      <c r="L29" s="26">
        <f>SUM('Fechamento 1'!E28:H28)</f>
        <v>47.69</v>
      </c>
      <c r="M29" s="20" t="str">
        <f t="shared" si="2"/>
        <v>PROVA ESPECIAL</v>
      </c>
    </row>
    <row r="30" spans="1:13" s="6" customFormat="1" ht="12.75">
      <c r="A30" s="75">
        <v>22</v>
      </c>
      <c r="B30" s="86" t="s">
        <v>76</v>
      </c>
      <c r="C30" s="16"/>
      <c r="D30" s="17"/>
      <c r="E30" s="21"/>
      <c r="F30" s="21"/>
      <c r="G30" s="21"/>
      <c r="H30" s="21"/>
      <c r="I30" s="21"/>
      <c r="J30" s="22">
        <f t="shared" si="0"/>
        <v>0</v>
      </c>
      <c r="K30" s="20" t="str">
        <f t="shared" si="1"/>
        <v>-</v>
      </c>
      <c r="L30" s="26">
        <f>SUM('Fechamento 1'!E29:H29)</f>
        <v>38.39</v>
      </c>
      <c r="M30" s="20" t="str">
        <f t="shared" si="2"/>
        <v>PROVA ESPECIAL</v>
      </c>
    </row>
    <row r="31" spans="1:13" s="6" customFormat="1" ht="12.75">
      <c r="A31" s="75">
        <v>23</v>
      </c>
      <c r="B31" s="86" t="s">
        <v>77</v>
      </c>
      <c r="C31" s="16"/>
      <c r="D31" s="17"/>
      <c r="E31" s="21"/>
      <c r="F31" s="21"/>
      <c r="G31" s="21"/>
      <c r="H31" s="21"/>
      <c r="I31" s="21"/>
      <c r="J31" s="22">
        <f t="shared" si="0"/>
        <v>0</v>
      </c>
      <c r="K31" s="20" t="str">
        <f t="shared" si="1"/>
        <v>-</v>
      </c>
      <c r="L31" s="26">
        <f>SUM('Fechamento 1'!E30:H30)</f>
        <v>37.76</v>
      </c>
      <c r="M31" s="20" t="str">
        <f t="shared" si="2"/>
        <v>PROVA ESPECIAL</v>
      </c>
    </row>
    <row r="32" spans="1:13" s="6" customFormat="1" ht="12.75">
      <c r="A32" s="75">
        <v>24</v>
      </c>
      <c r="B32" s="86" t="s">
        <v>78</v>
      </c>
      <c r="C32" s="16"/>
      <c r="D32" s="17"/>
      <c r="E32" s="21"/>
      <c r="F32" s="21"/>
      <c r="G32" s="21"/>
      <c r="H32" s="21"/>
      <c r="I32" s="21"/>
      <c r="J32" s="22">
        <f t="shared" si="0"/>
        <v>0</v>
      </c>
      <c r="K32" s="20" t="str">
        <f t="shared" si="1"/>
        <v>-</v>
      </c>
      <c r="L32" s="26" t="e">
        <f>SUM('Fechamento 1'!E31:H31)</f>
        <v>#REF!</v>
      </c>
      <c r="M32" s="20" t="e">
        <f t="shared" si="2"/>
        <v>#REF!</v>
      </c>
    </row>
    <row r="33" spans="1:13" s="6" customFormat="1" ht="12.75">
      <c r="A33" s="75">
        <v>25</v>
      </c>
      <c r="B33" s="86" t="s">
        <v>79</v>
      </c>
      <c r="C33" s="16"/>
      <c r="D33" s="17"/>
      <c r="E33" s="21"/>
      <c r="F33" s="21"/>
      <c r="G33" s="21"/>
      <c r="H33" s="21"/>
      <c r="I33" s="21"/>
      <c r="J33" s="22">
        <f t="shared" si="0"/>
        <v>0</v>
      </c>
      <c r="K33" s="20" t="str">
        <f t="shared" si="1"/>
        <v>-</v>
      </c>
      <c r="L33" s="26">
        <f>SUM('Fechamento 1'!E32:H32)</f>
        <v>52.33</v>
      </c>
      <c r="M33" s="20" t="str">
        <f t="shared" si="2"/>
        <v>PROVA ESPECIAL</v>
      </c>
    </row>
    <row r="34" spans="1:13" s="6" customFormat="1" ht="12.75">
      <c r="A34" s="75">
        <v>28</v>
      </c>
      <c r="B34" s="86" t="s">
        <v>80</v>
      </c>
      <c r="C34" s="16"/>
      <c r="D34" s="17"/>
      <c r="E34" s="21"/>
      <c r="F34" s="21"/>
      <c r="G34" s="21"/>
      <c r="H34" s="21"/>
      <c r="I34" s="21"/>
      <c r="J34" s="22">
        <f t="shared" si="0"/>
        <v>0</v>
      </c>
      <c r="K34" s="20" t="str">
        <f t="shared" si="1"/>
        <v>-</v>
      </c>
      <c r="L34" s="26">
        <f>SUM('Fechamento 1'!E33:H33)</f>
        <v>44.05</v>
      </c>
      <c r="M34" s="20" t="str">
        <f t="shared" si="2"/>
        <v>PROVA ESPECIAL</v>
      </c>
    </row>
    <row r="35" spans="1:13" s="6" customFormat="1" ht="12.75">
      <c r="A35" s="75">
        <v>29</v>
      </c>
      <c r="B35" s="86" t="s">
        <v>81</v>
      </c>
      <c r="C35" s="16"/>
      <c r="D35" s="17"/>
      <c r="E35" s="21"/>
      <c r="F35" s="21"/>
      <c r="G35" s="21"/>
      <c r="H35" s="21"/>
      <c r="I35" s="21"/>
      <c r="J35" s="22">
        <f t="shared" si="0"/>
        <v>0</v>
      </c>
      <c r="K35" s="20" t="str">
        <f t="shared" si="1"/>
        <v>-</v>
      </c>
      <c r="L35" s="26">
        <f>SUM('Fechamento 1'!E34:H34)</f>
        <v>49.08</v>
      </c>
      <c r="M35" s="20" t="str">
        <f t="shared" si="2"/>
        <v>PROVA ESPECIAL</v>
      </c>
    </row>
    <row r="36" spans="1:13" s="6" customFormat="1" ht="12.75">
      <c r="A36" s="75">
        <v>30</v>
      </c>
      <c r="B36" s="86" t="s">
        <v>82</v>
      </c>
      <c r="C36" s="16"/>
      <c r="D36" s="17"/>
      <c r="E36" s="21"/>
      <c r="F36" s="21"/>
      <c r="G36" s="21"/>
      <c r="H36" s="21"/>
      <c r="I36" s="21"/>
      <c r="J36" s="22">
        <f t="shared" si="0"/>
        <v>0</v>
      </c>
      <c r="K36" s="20" t="str">
        <f t="shared" si="1"/>
        <v>-</v>
      </c>
      <c r="L36" s="26">
        <f>SUM('Fechamento 1'!E35:H35)</f>
        <v>48.269999999999996</v>
      </c>
      <c r="M36" s="20" t="str">
        <f t="shared" si="2"/>
        <v>PROVA ESPECIAL</v>
      </c>
    </row>
    <row r="37" spans="1:13" s="6" customFormat="1" ht="12.75">
      <c r="A37" s="75">
        <v>31</v>
      </c>
      <c r="B37" s="86" t="s">
        <v>83</v>
      </c>
      <c r="C37" s="16"/>
      <c r="D37" s="17"/>
      <c r="E37" s="21"/>
      <c r="F37" s="21"/>
      <c r="G37" s="21"/>
      <c r="H37" s="21"/>
      <c r="I37" s="21"/>
      <c r="J37" s="22">
        <f t="shared" si="0"/>
        <v>0</v>
      </c>
      <c r="K37" s="20" t="str">
        <f t="shared" si="1"/>
        <v>-</v>
      </c>
      <c r="L37" s="26">
        <f>SUM('Fechamento 1'!E36:H36)</f>
        <v>45.07000000000001</v>
      </c>
      <c r="M37" s="20" t="str">
        <f t="shared" si="2"/>
        <v>PROVA ESPECIAL</v>
      </c>
    </row>
    <row r="38" spans="1:13" s="6" customFormat="1" ht="12.75">
      <c r="A38" s="75">
        <v>32</v>
      </c>
      <c r="B38" s="86" t="s">
        <v>84</v>
      </c>
      <c r="C38" s="16"/>
      <c r="D38" s="17"/>
      <c r="E38" s="21"/>
      <c r="F38" s="21"/>
      <c r="G38" s="21"/>
      <c r="H38" s="21"/>
      <c r="I38" s="21"/>
      <c r="J38" s="22">
        <f t="shared" si="0"/>
        <v>0</v>
      </c>
      <c r="K38" s="20" t="str">
        <f t="shared" si="1"/>
        <v>-</v>
      </c>
      <c r="L38" s="26">
        <f>SUM('Fechamento 1'!E37:H37)</f>
        <v>51.66</v>
      </c>
      <c r="M38" s="20" t="str">
        <f t="shared" si="2"/>
        <v>PROVA ESPECIAL</v>
      </c>
    </row>
    <row r="39" spans="1:13" s="6" customFormat="1" ht="12.75">
      <c r="A39" s="75">
        <v>33</v>
      </c>
      <c r="B39" s="86" t="s">
        <v>85</v>
      </c>
      <c r="C39" s="16"/>
      <c r="D39" s="17"/>
      <c r="E39" s="21"/>
      <c r="F39" s="21"/>
      <c r="G39" s="21"/>
      <c r="H39" s="21"/>
      <c r="I39" s="21"/>
      <c r="J39" s="22">
        <f t="shared" si="0"/>
        <v>0</v>
      </c>
      <c r="K39" s="20" t="str">
        <f t="shared" si="1"/>
        <v>-</v>
      </c>
      <c r="L39" s="26">
        <f>SUM('Fechamento 1'!E38:H38)</f>
        <v>44.39</v>
      </c>
      <c r="M39" s="20" t="str">
        <f t="shared" si="2"/>
        <v>PROVA ESPECIAL</v>
      </c>
    </row>
    <row r="40" spans="1:13" s="6" customFormat="1" ht="12.75">
      <c r="A40" s="75">
        <v>34</v>
      </c>
      <c r="B40" s="86" t="s">
        <v>86</v>
      </c>
      <c r="C40" s="16"/>
      <c r="D40" s="17"/>
      <c r="E40" s="21"/>
      <c r="F40" s="21"/>
      <c r="G40" s="21"/>
      <c r="H40" s="21"/>
      <c r="I40" s="21"/>
      <c r="J40" s="22">
        <f t="shared" si="0"/>
        <v>0</v>
      </c>
      <c r="K40" s="20" t="str">
        <f t="shared" si="1"/>
        <v>-</v>
      </c>
      <c r="L40" s="26">
        <f>SUM('Fechamento 1'!E39:H39)</f>
        <v>50.660000000000004</v>
      </c>
      <c r="M40" s="20" t="str">
        <f t="shared" si="2"/>
        <v>PROVA ESPECIAL</v>
      </c>
    </row>
    <row r="41" spans="1:13" s="6" customFormat="1" ht="12.75">
      <c r="A41" s="75">
        <v>35</v>
      </c>
      <c r="B41" s="101" t="s">
        <v>87</v>
      </c>
      <c r="C41" s="16"/>
      <c r="D41" s="17"/>
      <c r="E41" s="21"/>
      <c r="F41" s="21"/>
      <c r="G41" s="21"/>
      <c r="H41" s="21"/>
      <c r="I41" s="21"/>
      <c r="J41" s="22">
        <f t="shared" si="0"/>
        <v>0</v>
      </c>
      <c r="K41" s="20" t="str">
        <f t="shared" si="1"/>
        <v>-</v>
      </c>
      <c r="L41" s="26" t="e">
        <f>SUM('Fechamento 1'!E40:H40)</f>
        <v>#REF!</v>
      </c>
      <c r="M41" s="20" t="e">
        <f t="shared" si="2"/>
        <v>#REF!</v>
      </c>
    </row>
    <row r="42" spans="1:13" s="6" customFormat="1" ht="12.75">
      <c r="A42" s="75">
        <v>36</v>
      </c>
      <c r="B42" s="86" t="s">
        <v>88</v>
      </c>
      <c r="C42" s="16"/>
      <c r="D42" s="17"/>
      <c r="E42" s="21"/>
      <c r="F42" s="21"/>
      <c r="G42" s="21"/>
      <c r="H42" s="21"/>
      <c r="I42" s="21"/>
      <c r="J42" s="22">
        <f t="shared" si="0"/>
        <v>0</v>
      </c>
      <c r="K42" s="20" t="str">
        <f t="shared" si="1"/>
        <v>-</v>
      </c>
      <c r="L42" s="26">
        <f>SUM('Fechamento 1'!E41:H41)</f>
        <v>43.28</v>
      </c>
      <c r="M42" s="20" t="str">
        <f t="shared" si="2"/>
        <v>PROVA ESPECIAL</v>
      </c>
    </row>
    <row r="43" spans="1:13" s="6" customFormat="1" ht="12.75">
      <c r="A43" s="75">
        <v>39</v>
      </c>
      <c r="B43" s="86" t="s">
        <v>89</v>
      </c>
      <c r="C43" s="16"/>
      <c r="D43" s="17"/>
      <c r="E43" s="21"/>
      <c r="F43" s="21"/>
      <c r="G43" s="21"/>
      <c r="H43" s="21"/>
      <c r="I43" s="21"/>
      <c r="J43" s="22">
        <f t="shared" si="0"/>
        <v>0</v>
      </c>
      <c r="K43" s="20" t="str">
        <f t="shared" si="1"/>
        <v>-</v>
      </c>
      <c r="L43" s="26">
        <f>SUM('Fechamento 1'!E42:H42)</f>
        <v>37.10000000000001</v>
      </c>
      <c r="M43" s="20" t="str">
        <f t="shared" si="2"/>
        <v>PROVA ESPECIAL</v>
      </c>
    </row>
    <row r="44" spans="1:13" s="6" customFormat="1" ht="12">
      <c r="A44" s="58">
        <v>40</v>
      </c>
      <c r="B44" s="86" t="s">
        <v>90</v>
      </c>
      <c r="C44" s="16"/>
      <c r="D44" s="17"/>
      <c r="E44" s="21"/>
      <c r="F44" s="21"/>
      <c r="G44" s="21"/>
      <c r="H44" s="21"/>
      <c r="I44" s="21"/>
      <c r="J44" s="22">
        <f aca="true" t="shared" si="3" ref="J44:J69">IF(SUM(E44:I44)&lt;=25,SUM(E44:I44),"Vr. maior 25,00")</f>
        <v>0</v>
      </c>
      <c r="K44" s="20" t="str">
        <f t="shared" si="1"/>
        <v>-</v>
      </c>
      <c r="L44" s="26">
        <f>SUM('Fechamento 1'!E43:H43)</f>
        <v>39.47</v>
      </c>
      <c r="M44" s="20" t="str">
        <f t="shared" si="2"/>
        <v>PROVA ESPECIAL</v>
      </c>
    </row>
    <row r="45" spans="1:13" s="6" customFormat="1" ht="12">
      <c r="A45" s="58">
        <v>41</v>
      </c>
      <c r="B45" s="86" t="s">
        <v>91</v>
      </c>
      <c r="C45" s="16"/>
      <c r="D45" s="17"/>
      <c r="E45" s="21"/>
      <c r="F45" s="21"/>
      <c r="G45" s="21"/>
      <c r="H45" s="21"/>
      <c r="I45" s="21"/>
      <c r="J45" s="22">
        <f t="shared" si="3"/>
        <v>0</v>
      </c>
      <c r="K45" s="20" t="str">
        <f aca="true" t="shared" si="4" ref="K45:K69">IF(J45&gt;=17.5,"Com Média",IF(J45=0,"-","Sem Média"))</f>
        <v>-</v>
      </c>
      <c r="L45" s="26" t="e">
        <f>SUM('Fechamento 1'!E44:H44)</f>
        <v>#REF!</v>
      </c>
      <c r="M45" s="20" t="e">
        <f aca="true" t="shared" si="5" ref="M45:M69">IF(L45&gt;=70,"APROVADO",IF(L45=0,"-","PROVA ESPECIAL"))</f>
        <v>#REF!</v>
      </c>
    </row>
    <row r="46" spans="1:13" s="6" customFormat="1" ht="12">
      <c r="A46" s="58">
        <v>42</v>
      </c>
      <c r="B46" s="86" t="s">
        <v>92</v>
      </c>
      <c r="C46" s="16"/>
      <c r="D46" s="17"/>
      <c r="E46" s="21"/>
      <c r="F46" s="21"/>
      <c r="G46" s="21"/>
      <c r="H46" s="21"/>
      <c r="I46" s="21"/>
      <c r="J46" s="22">
        <f t="shared" si="3"/>
        <v>0</v>
      </c>
      <c r="K46" s="20" t="str">
        <f t="shared" si="4"/>
        <v>-</v>
      </c>
      <c r="L46" s="26">
        <f>SUM('Fechamento 1'!E45:H45)</f>
        <v>42.14</v>
      </c>
      <c r="M46" s="20" t="str">
        <f t="shared" si="5"/>
        <v>PROVA ESPECIAL</v>
      </c>
    </row>
    <row r="47" spans="1:13" s="6" customFormat="1" ht="12">
      <c r="A47" s="94">
        <v>43</v>
      </c>
      <c r="B47" s="86" t="s">
        <v>93</v>
      </c>
      <c r="C47" s="16"/>
      <c r="D47" s="17"/>
      <c r="E47" s="21"/>
      <c r="F47" s="21"/>
      <c r="G47" s="21"/>
      <c r="H47" s="21"/>
      <c r="I47" s="21"/>
      <c r="J47" s="22">
        <f t="shared" si="3"/>
        <v>0</v>
      </c>
      <c r="K47" s="20" t="str">
        <f t="shared" si="4"/>
        <v>-</v>
      </c>
      <c r="L47" s="26">
        <f>SUM('Fechamento 1'!E46:H46)</f>
        <v>48.97</v>
      </c>
      <c r="M47" s="20" t="str">
        <f t="shared" si="5"/>
        <v>PROVA ESPECIAL</v>
      </c>
    </row>
    <row r="48" spans="1:13" s="6" customFormat="1" ht="12">
      <c r="A48" s="94">
        <v>44</v>
      </c>
      <c r="B48" s="86" t="s">
        <v>94</v>
      </c>
      <c r="C48" s="16"/>
      <c r="D48" s="17"/>
      <c r="E48" s="21"/>
      <c r="F48" s="21"/>
      <c r="G48" s="21"/>
      <c r="H48" s="21"/>
      <c r="I48" s="21"/>
      <c r="J48" s="22">
        <f t="shared" si="3"/>
        <v>0</v>
      </c>
      <c r="K48" s="20" t="str">
        <f t="shared" si="4"/>
        <v>-</v>
      </c>
      <c r="L48" s="26">
        <f>SUM('Fechamento 1'!E47:H47)</f>
        <v>45.150000000000006</v>
      </c>
      <c r="M48" s="20" t="str">
        <f t="shared" si="5"/>
        <v>PROVA ESPECIAL</v>
      </c>
    </row>
    <row r="49" spans="1:13" s="6" customFormat="1" ht="12">
      <c r="A49" s="102">
        <v>45</v>
      </c>
      <c r="B49" s="24" t="s">
        <v>95</v>
      </c>
      <c r="C49" s="16"/>
      <c r="D49" s="17"/>
      <c r="E49" s="21"/>
      <c r="F49" s="21"/>
      <c r="G49" s="21"/>
      <c r="H49" s="21"/>
      <c r="I49" s="21"/>
      <c r="J49" s="22">
        <f t="shared" si="3"/>
        <v>0</v>
      </c>
      <c r="K49" s="20" t="str">
        <f t="shared" si="4"/>
        <v>-</v>
      </c>
      <c r="L49" s="26">
        <f>SUM('Fechamento 1'!E48:H48)</f>
        <v>49.83</v>
      </c>
      <c r="M49" s="20" t="str">
        <f t="shared" si="5"/>
        <v>PROVA ESPECIAL</v>
      </c>
    </row>
    <row r="50" spans="1:13" s="6" customFormat="1" ht="12">
      <c r="A50" s="15" t="str">
        <f>IF($C$5=Alunos!$B$5,Alunos!A45,IF($C$5=Alunos!$E$5,Alunos!D45,IF($C$5=Alunos!$B$68,Alunos!A109,IF($C$5=Alunos!$E$68,Alunos!D105,"-"))))</f>
        <v>-</v>
      </c>
      <c r="B50" s="15" t="str">
        <f>IF($C$5=Alunos!$B$5,Alunos!B45,IF($C$5=Alunos!$E$5,Alunos!E45,IF($C$5=Alunos!$B$68,Alunos!B109,IF($C$5=Alunos!$E$68,Alunos!E105,"-"))))</f>
        <v>-</v>
      </c>
      <c r="C50" s="16"/>
      <c r="D50" s="17"/>
      <c r="E50" s="21"/>
      <c r="F50" s="21"/>
      <c r="G50" s="21"/>
      <c r="H50" s="21"/>
      <c r="I50" s="21"/>
      <c r="J50" s="22">
        <f t="shared" si="3"/>
        <v>0</v>
      </c>
      <c r="K50" s="20" t="str">
        <f t="shared" si="4"/>
        <v>-</v>
      </c>
      <c r="L50" s="26" t="e">
        <f>SUM('Fechamento 1'!E49:H49)</f>
        <v>#REF!</v>
      </c>
      <c r="M50" s="20" t="e">
        <f t="shared" si="5"/>
        <v>#REF!</v>
      </c>
    </row>
    <row r="51" spans="1:13" s="6" customFormat="1" ht="12">
      <c r="A51" s="15" t="str">
        <f>IF($C$5=Alunos!$B$5,Alunos!A46,IF($C$5=Alunos!$E$5,Alunos!D46,IF($C$5=Alunos!$B$68,Alunos!A110,IF($C$5=Alunos!$E$68,Alunos!D106,"-"))))</f>
        <v>-</v>
      </c>
      <c r="B51" s="15" t="str">
        <f>IF($C$5=Alunos!$B$5,Alunos!B46,IF($C$5=Alunos!$E$5,Alunos!E46,IF($C$5=Alunos!$B$68,Alunos!B110,IF($C$5=Alunos!$E$68,Alunos!E106,"-"))))</f>
        <v>-</v>
      </c>
      <c r="C51" s="16"/>
      <c r="D51" s="17"/>
      <c r="E51" s="21"/>
      <c r="F51" s="21"/>
      <c r="G51" s="21"/>
      <c r="H51" s="21"/>
      <c r="I51" s="21"/>
      <c r="J51" s="22">
        <f t="shared" si="3"/>
        <v>0</v>
      </c>
      <c r="K51" s="20" t="str">
        <f t="shared" si="4"/>
        <v>-</v>
      </c>
      <c r="L51" s="26" t="e">
        <f>SUM('Fechamento 1'!E50:H50)</f>
        <v>#REF!</v>
      </c>
      <c r="M51" s="20" t="e">
        <f t="shared" si="5"/>
        <v>#REF!</v>
      </c>
    </row>
    <row r="52" spans="1:13" s="6" customFormat="1" ht="12">
      <c r="A52" s="15" t="str">
        <f>IF($C$5=Alunos!$B$5,Alunos!A47,IF($C$5=Alunos!$E$5,Alunos!D47,IF($C$5=Alunos!$B$68,Alunos!A111,IF($C$5=Alunos!$E$68,Alunos!D107,"-"))))</f>
        <v>-</v>
      </c>
      <c r="B52" s="15" t="str">
        <f>IF($C$5=Alunos!$B$5,Alunos!B47,IF($C$5=Alunos!$E$5,Alunos!E47,IF($C$5=Alunos!$B$68,Alunos!B111,IF($C$5=Alunos!$E$68,Alunos!E107,"-"))))</f>
        <v>-</v>
      </c>
      <c r="C52" s="16"/>
      <c r="D52" s="17"/>
      <c r="E52" s="21"/>
      <c r="F52" s="21"/>
      <c r="G52" s="21"/>
      <c r="H52" s="21"/>
      <c r="I52" s="21"/>
      <c r="J52" s="22">
        <f t="shared" si="3"/>
        <v>0</v>
      </c>
      <c r="K52" s="20" t="str">
        <f t="shared" si="4"/>
        <v>-</v>
      </c>
      <c r="L52" s="26" t="e">
        <f>SUM('Fechamento 1'!E51:H51)</f>
        <v>#REF!</v>
      </c>
      <c r="M52" s="20" t="e">
        <f t="shared" si="5"/>
        <v>#REF!</v>
      </c>
    </row>
    <row r="53" spans="1:13" s="6" customFormat="1" ht="12">
      <c r="A53" s="15" t="str">
        <f>IF($C$5=Alunos!$B$5,Alunos!A48,IF($C$5=Alunos!$E$5,Alunos!D48,IF($C$5=Alunos!$B$68,Alunos!A112,IF($C$5=Alunos!$E$68,Alunos!D108,"-"))))</f>
        <v>-</v>
      </c>
      <c r="B53" s="15" t="str">
        <f>IF($C$5=Alunos!$B$5,Alunos!B48,IF($C$5=Alunos!$E$5,Alunos!E48,IF($C$5=Alunos!$B$68,Alunos!B112,IF($C$5=Alunos!$E$68,Alunos!E108,"-"))))</f>
        <v>-</v>
      </c>
      <c r="C53" s="16"/>
      <c r="D53" s="17"/>
      <c r="E53" s="21"/>
      <c r="F53" s="21"/>
      <c r="G53" s="21"/>
      <c r="H53" s="21"/>
      <c r="I53" s="21"/>
      <c r="J53" s="22">
        <f t="shared" si="3"/>
        <v>0</v>
      </c>
      <c r="K53" s="20" t="str">
        <f t="shared" si="4"/>
        <v>-</v>
      </c>
      <c r="L53" s="26" t="e">
        <f>SUM('Fechamento 1'!E52:H52)</f>
        <v>#REF!</v>
      </c>
      <c r="M53" s="20" t="e">
        <f t="shared" si="5"/>
        <v>#REF!</v>
      </c>
    </row>
    <row r="54" spans="1:13" s="6" customFormat="1" ht="12">
      <c r="A54" s="15" t="str">
        <f>IF($C$5=Alunos!$B$5,Alunos!A49,IF($C$5=Alunos!$E$5,Alunos!D49,IF($C$5=Alunos!$B$68,Alunos!A113,IF($C$5=Alunos!$E$68,Alunos!D109,"-"))))</f>
        <v>-</v>
      </c>
      <c r="B54" s="15" t="str">
        <f>IF($C$5=Alunos!$B$5,Alunos!B49,IF($C$5=Alunos!$E$5,Alunos!E49,IF($C$5=Alunos!$B$68,Alunos!B113,IF($C$5=Alunos!$E$68,Alunos!E109,"-"))))</f>
        <v>-</v>
      </c>
      <c r="C54" s="16"/>
      <c r="D54" s="17"/>
      <c r="E54" s="21"/>
      <c r="F54" s="21"/>
      <c r="G54" s="21"/>
      <c r="H54" s="21"/>
      <c r="I54" s="21"/>
      <c r="J54" s="22">
        <f t="shared" si="3"/>
        <v>0</v>
      </c>
      <c r="K54" s="20" t="str">
        <f t="shared" si="4"/>
        <v>-</v>
      </c>
      <c r="L54" s="26" t="e">
        <f>SUM('Fechamento 1'!E53:H53)</f>
        <v>#REF!</v>
      </c>
      <c r="M54" s="20" t="e">
        <f t="shared" si="5"/>
        <v>#REF!</v>
      </c>
    </row>
    <row r="55" spans="1:13" s="6" customFormat="1" ht="12">
      <c r="A55" s="15" t="str">
        <f>IF($C$5=Alunos!$B$5,Alunos!A50,IF($C$5=Alunos!$E$5,Alunos!D50,IF($C$5=Alunos!$B$68,Alunos!A114,IF($C$5=Alunos!$E$68,Alunos!D110,"-"))))</f>
        <v>-</v>
      </c>
      <c r="B55" s="15" t="str">
        <f>IF($C$5=Alunos!$B$5,Alunos!B50,IF($C$5=Alunos!$E$5,Alunos!E50,IF($C$5=Alunos!$B$68,Alunos!B114,IF($C$5=Alunos!$E$68,Alunos!E110,"-"))))</f>
        <v>-</v>
      </c>
      <c r="C55" s="16"/>
      <c r="D55" s="17"/>
      <c r="E55" s="21"/>
      <c r="F55" s="21"/>
      <c r="G55" s="21"/>
      <c r="H55" s="21"/>
      <c r="I55" s="21"/>
      <c r="J55" s="22">
        <f t="shared" si="3"/>
        <v>0</v>
      </c>
      <c r="K55" s="20" t="str">
        <f t="shared" si="4"/>
        <v>-</v>
      </c>
      <c r="L55" s="26" t="e">
        <f>SUM('Fechamento 1'!E54:H54)</f>
        <v>#REF!</v>
      </c>
      <c r="M55" s="20" t="e">
        <f t="shared" si="5"/>
        <v>#REF!</v>
      </c>
    </row>
    <row r="56" spans="1:13" s="6" customFormat="1" ht="12">
      <c r="A56" s="15" t="str">
        <f>IF($C$5=Alunos!$B$5,Alunos!A51,IF($C$5=Alunos!$E$5,Alunos!D51,IF($C$5=Alunos!$B$68,Alunos!A115,IF($C$5=Alunos!$E$68,Alunos!D111,"-"))))</f>
        <v>-</v>
      </c>
      <c r="B56" s="15" t="str">
        <f>IF($C$5=Alunos!$B$5,Alunos!B51,IF($C$5=Alunos!$E$5,Alunos!E51,IF($C$5=Alunos!$B$68,Alunos!B115,IF($C$5=Alunos!$E$68,Alunos!E111,"-"))))</f>
        <v>-</v>
      </c>
      <c r="C56" s="16"/>
      <c r="D56" s="17"/>
      <c r="E56" s="21"/>
      <c r="F56" s="21"/>
      <c r="G56" s="21"/>
      <c r="H56" s="21"/>
      <c r="I56" s="21"/>
      <c r="J56" s="22">
        <f t="shared" si="3"/>
        <v>0</v>
      </c>
      <c r="K56" s="20" t="str">
        <f t="shared" si="4"/>
        <v>-</v>
      </c>
      <c r="L56" s="26" t="e">
        <f>SUM('Fechamento 1'!E55:H55)</f>
        <v>#REF!</v>
      </c>
      <c r="M56" s="20" t="e">
        <f t="shared" si="5"/>
        <v>#REF!</v>
      </c>
    </row>
    <row r="57" spans="1:13" s="6" customFormat="1" ht="12">
      <c r="A57" s="15" t="str">
        <f>IF($C$5=Alunos!$B$5,Alunos!A52,IF($C$5=Alunos!$E$5,Alunos!D52,IF($C$5=Alunos!$B$68,Alunos!A116,IF($C$5=Alunos!$E$68,Alunos!D112,"-"))))</f>
        <v>-</v>
      </c>
      <c r="B57" s="15" t="str">
        <f>IF($C$5=Alunos!$B$5,Alunos!B52,IF($C$5=Alunos!$E$5,Alunos!E52,IF($C$5=Alunos!$B$68,Alunos!B116,IF($C$5=Alunos!$E$68,Alunos!E112,"-"))))</f>
        <v>-</v>
      </c>
      <c r="C57" s="16"/>
      <c r="D57" s="17"/>
      <c r="E57" s="21"/>
      <c r="F57" s="21"/>
      <c r="G57" s="21"/>
      <c r="H57" s="21"/>
      <c r="I57" s="21"/>
      <c r="J57" s="22">
        <f t="shared" si="3"/>
        <v>0</v>
      </c>
      <c r="K57" s="20" t="str">
        <f t="shared" si="4"/>
        <v>-</v>
      </c>
      <c r="L57" s="26" t="e">
        <f>SUM('Fechamento 1'!E56:H56)</f>
        <v>#REF!</v>
      </c>
      <c r="M57" s="20" t="e">
        <f t="shared" si="5"/>
        <v>#REF!</v>
      </c>
    </row>
    <row r="58" spans="1:13" s="6" customFormat="1" ht="12">
      <c r="A58" s="15" t="str">
        <f>IF($C$5=Alunos!$B$5,Alunos!A53,IF($C$5=Alunos!$E$5,Alunos!D53,IF($C$5=Alunos!$B$68,Alunos!A117,IF($C$5=Alunos!$E$68,Alunos!D113,"-"))))</f>
        <v>-</v>
      </c>
      <c r="B58" s="15" t="str">
        <f>IF($C$5=Alunos!$B$5,Alunos!B53,IF($C$5=Alunos!$E$5,Alunos!E53,IF($C$5=Alunos!$B$68,Alunos!B117,IF($C$5=Alunos!$E$68,Alunos!E113,"-"))))</f>
        <v>-</v>
      </c>
      <c r="C58" s="16"/>
      <c r="D58" s="17"/>
      <c r="E58" s="21"/>
      <c r="F58" s="21"/>
      <c r="G58" s="21"/>
      <c r="H58" s="21"/>
      <c r="I58" s="21"/>
      <c r="J58" s="22">
        <f t="shared" si="3"/>
        <v>0</v>
      </c>
      <c r="K58" s="20" t="str">
        <f t="shared" si="4"/>
        <v>-</v>
      </c>
      <c r="L58" s="26" t="e">
        <f>SUM('Fechamento 1'!E57:H57)</f>
        <v>#REF!</v>
      </c>
      <c r="M58" s="20" t="e">
        <f t="shared" si="5"/>
        <v>#REF!</v>
      </c>
    </row>
    <row r="59" spans="1:13" s="6" customFormat="1" ht="12">
      <c r="A59" s="15" t="str">
        <f>IF($C$5=Alunos!$B$5,Alunos!A54,IF($C$5=Alunos!$E$5,Alunos!D54,IF($C$5=Alunos!$B$68,Alunos!A118,IF($C$5=Alunos!$E$68,Alunos!D114,"-"))))</f>
        <v>-</v>
      </c>
      <c r="B59" s="15" t="str">
        <f>IF($C$5=Alunos!$B$5,Alunos!B54,IF($C$5=Alunos!$E$5,Alunos!E54,IF($C$5=Alunos!$B$68,Alunos!B118,IF($C$5=Alunos!$E$68,Alunos!E114,"-"))))</f>
        <v>-</v>
      </c>
      <c r="C59" s="16"/>
      <c r="D59" s="17"/>
      <c r="E59" s="21"/>
      <c r="F59" s="21"/>
      <c r="G59" s="21"/>
      <c r="H59" s="21"/>
      <c r="I59" s="21"/>
      <c r="J59" s="22">
        <f t="shared" si="3"/>
        <v>0</v>
      </c>
      <c r="K59" s="20" t="str">
        <f t="shared" si="4"/>
        <v>-</v>
      </c>
      <c r="L59" s="26" t="e">
        <f>SUM('Fechamento 1'!E58:H58)</f>
        <v>#REF!</v>
      </c>
      <c r="M59" s="20" t="e">
        <f t="shared" si="5"/>
        <v>#REF!</v>
      </c>
    </row>
    <row r="60" spans="1:13" s="6" customFormat="1" ht="12">
      <c r="A60" s="15" t="str">
        <f>IF($C$5=Alunos!$B$5,Alunos!A55,IF($C$5=Alunos!$E$5,Alunos!D55,IF($C$5=Alunos!$B$68,Alunos!A119,IF($C$5=Alunos!$E$68,Alunos!D115,"-"))))</f>
        <v>-</v>
      </c>
      <c r="B60" s="15" t="str">
        <f>IF($C$5=Alunos!$B$5,Alunos!B55,IF($C$5=Alunos!$E$5,Alunos!E55,IF($C$5=Alunos!$B$68,Alunos!B119,IF($C$5=Alunos!$E$68,Alunos!E115,"-"))))</f>
        <v>-</v>
      </c>
      <c r="C60" s="16"/>
      <c r="D60" s="17"/>
      <c r="E60" s="21"/>
      <c r="F60" s="21"/>
      <c r="G60" s="21"/>
      <c r="H60" s="21"/>
      <c r="I60" s="21"/>
      <c r="J60" s="22">
        <f t="shared" si="3"/>
        <v>0</v>
      </c>
      <c r="K60" s="20" t="str">
        <f t="shared" si="4"/>
        <v>-</v>
      </c>
      <c r="L60" s="26" t="e">
        <f>SUM('Fechamento 1'!E59:H59)</f>
        <v>#REF!</v>
      </c>
      <c r="M60" s="20" t="e">
        <f t="shared" si="5"/>
        <v>#REF!</v>
      </c>
    </row>
    <row r="61" spans="1:13" s="6" customFormat="1" ht="12">
      <c r="A61" s="24"/>
      <c r="B61" s="24"/>
      <c r="C61" s="25"/>
      <c r="D61" s="17"/>
      <c r="E61" s="21"/>
      <c r="F61" s="21"/>
      <c r="G61" s="21"/>
      <c r="H61" s="21"/>
      <c r="I61" s="21"/>
      <c r="J61" s="22">
        <f t="shared" si="3"/>
        <v>0</v>
      </c>
      <c r="K61" s="20" t="str">
        <f t="shared" si="4"/>
        <v>-</v>
      </c>
      <c r="L61" s="26" t="e">
        <f>SUM('Fechamento 1'!E60:H60)</f>
        <v>#REF!</v>
      </c>
      <c r="M61" s="20" t="e">
        <f t="shared" si="5"/>
        <v>#REF!</v>
      </c>
    </row>
    <row r="62" spans="1:13" s="6" customFormat="1" ht="12">
      <c r="A62" s="24" t="str">
        <f>IF($C$5=Alunos!$B$5,Alunos!A57,IF($C$5=Alunos!$E$5,Alunos!D57,IF($C$5=Alunos!$B$68,Alunos!A121,IF($C$5=Alunos!$E$68,Alunos!D117,"-"))))</f>
        <v>-</v>
      </c>
      <c r="B62" s="24" t="str">
        <f>IF($C$5=Alunos!$B$5,Alunos!B57,IF($C$5=Alunos!$E$5,Alunos!E57,IF($C$5=Alunos!$B$68,Alunos!B121,IF($C$5=Alunos!$E$68,Alunos!E117,"-"))))</f>
        <v>-</v>
      </c>
      <c r="C62" s="25"/>
      <c r="D62" s="17"/>
      <c r="E62" s="21"/>
      <c r="F62" s="21"/>
      <c r="G62" s="21"/>
      <c r="H62" s="21"/>
      <c r="I62" s="21"/>
      <c r="J62" s="22">
        <f t="shared" si="3"/>
        <v>0</v>
      </c>
      <c r="K62" s="20" t="str">
        <f t="shared" si="4"/>
        <v>-</v>
      </c>
      <c r="L62" s="26" t="e">
        <f>SUM('Fechamento 1'!E61:H61)</f>
        <v>#REF!</v>
      </c>
      <c r="M62" s="20" t="e">
        <f t="shared" si="5"/>
        <v>#REF!</v>
      </c>
    </row>
    <row r="63" spans="1:13" s="6" customFormat="1" ht="12">
      <c r="A63" s="24" t="str">
        <f>IF($C$5=Alunos!$B$5,Alunos!A58,IF($C$5=Alunos!$E$5,Alunos!D58,IF($C$5=Alunos!$B$68,Alunos!A122,IF($C$5=Alunos!$E$68,Alunos!D118,"-"))))</f>
        <v>-</v>
      </c>
      <c r="B63" s="24" t="str">
        <f>IF($C$5=Alunos!$B$5,Alunos!B58,IF($C$5=Alunos!$E$5,Alunos!E58,IF($C$5=Alunos!$B$68,Alunos!B122,IF($C$5=Alunos!$E$68,Alunos!E118,"-"))))</f>
        <v>-</v>
      </c>
      <c r="C63" s="25"/>
      <c r="D63" s="17"/>
      <c r="E63" s="21"/>
      <c r="F63" s="21"/>
      <c r="G63" s="21"/>
      <c r="H63" s="21"/>
      <c r="I63" s="21"/>
      <c r="J63" s="22">
        <f t="shared" si="3"/>
        <v>0</v>
      </c>
      <c r="K63" s="20" t="str">
        <f t="shared" si="4"/>
        <v>-</v>
      </c>
      <c r="L63" s="26" t="e">
        <f>SUM('Fechamento 1'!E62:H62)</f>
        <v>#REF!</v>
      </c>
      <c r="M63" s="20" t="e">
        <f t="shared" si="5"/>
        <v>#REF!</v>
      </c>
    </row>
    <row r="64" spans="1:13" s="6" customFormat="1" ht="12">
      <c r="A64" s="24" t="str">
        <f>IF($C$5=Alunos!$B$5,Alunos!A59,IF($C$5=Alunos!$E$5,Alunos!D59,IF($C$5=Alunos!$B$68,Alunos!A123,IF($C$5=Alunos!$E$68,Alunos!D119,"-"))))</f>
        <v>-</v>
      </c>
      <c r="B64" s="24" t="str">
        <f>IF($C$5=Alunos!$B$5,Alunos!B59,IF($C$5=Alunos!$E$5,Alunos!E59,IF($C$5=Alunos!$B$68,Alunos!B123,IF($C$5=Alunos!$E$68,Alunos!E119,"-"))))</f>
        <v>-</v>
      </c>
      <c r="C64" s="25"/>
      <c r="D64" s="17"/>
      <c r="E64" s="21"/>
      <c r="F64" s="21"/>
      <c r="G64" s="21"/>
      <c r="H64" s="21"/>
      <c r="I64" s="21"/>
      <c r="J64" s="22">
        <f t="shared" si="3"/>
        <v>0</v>
      </c>
      <c r="K64" s="20" t="str">
        <f t="shared" si="4"/>
        <v>-</v>
      </c>
      <c r="L64" s="26" t="e">
        <f>SUM('Fechamento 1'!E63:H63)</f>
        <v>#REF!</v>
      </c>
      <c r="M64" s="20" t="e">
        <f t="shared" si="5"/>
        <v>#REF!</v>
      </c>
    </row>
    <row r="65" spans="1:13" s="6" customFormat="1" ht="12">
      <c r="A65" s="24" t="str">
        <f>IF($C$5=Alunos!$B$5,Alunos!A60,IF($C$5=Alunos!$E$5,Alunos!D60,IF($C$5=Alunos!$B$68,Alunos!A124,IF($C$5=Alunos!$E$68,Alunos!D120,"-"))))</f>
        <v>-</v>
      </c>
      <c r="B65" s="24" t="str">
        <f>IF($C$5=Alunos!$B$5,Alunos!B60,IF($C$5=Alunos!$E$5,Alunos!E60,IF($C$5=Alunos!$B$68,Alunos!B124,IF($C$5=Alunos!$E$68,Alunos!E120,"-"))))</f>
        <v>-</v>
      </c>
      <c r="C65" s="25"/>
      <c r="D65" s="17"/>
      <c r="E65" s="21"/>
      <c r="F65" s="21"/>
      <c r="G65" s="21"/>
      <c r="H65" s="21"/>
      <c r="I65" s="21"/>
      <c r="J65" s="22">
        <f t="shared" si="3"/>
        <v>0</v>
      </c>
      <c r="K65" s="20" t="str">
        <f t="shared" si="4"/>
        <v>-</v>
      </c>
      <c r="L65" s="26" t="e">
        <f>SUM('Fechamento 1'!E64:H64)</f>
        <v>#REF!</v>
      </c>
      <c r="M65" s="20" t="e">
        <f t="shared" si="5"/>
        <v>#REF!</v>
      </c>
    </row>
    <row r="66" spans="1:13" s="6" customFormat="1" ht="12">
      <c r="A66" s="24" t="str">
        <f>IF($C$5=Alunos!$B$5,Alunos!A61,IF($C$5=Alunos!$E$5,Alunos!D61,IF($C$5=Alunos!$B$68,Alunos!A125,IF($C$5=Alunos!$E$68,Alunos!D121,"-"))))</f>
        <v>-</v>
      </c>
      <c r="B66" s="24" t="str">
        <f>IF($C$5=Alunos!$B$5,Alunos!B61,IF($C$5=Alunos!$E$5,Alunos!E61,IF($C$5=Alunos!$B$68,Alunos!B125,IF($C$5=Alunos!$E$68,Alunos!E121,"-"))))</f>
        <v>-</v>
      </c>
      <c r="C66" s="25"/>
      <c r="D66" s="17"/>
      <c r="E66" s="21"/>
      <c r="F66" s="21"/>
      <c r="G66" s="21"/>
      <c r="H66" s="21"/>
      <c r="I66" s="21"/>
      <c r="J66" s="22">
        <f t="shared" si="3"/>
        <v>0</v>
      </c>
      <c r="K66" s="20" t="str">
        <f t="shared" si="4"/>
        <v>-</v>
      </c>
      <c r="L66" s="26" t="e">
        <f>SUM('Fechamento 1'!E65:H65)</f>
        <v>#REF!</v>
      </c>
      <c r="M66" s="20" t="e">
        <f t="shared" si="5"/>
        <v>#REF!</v>
      </c>
    </row>
    <row r="67" spans="1:13" s="6" customFormat="1" ht="12">
      <c r="A67" s="24" t="str">
        <f>IF($C$5=Alunos!$B$5,Alunos!A62,IF($C$5=Alunos!$E$5,Alunos!D62,IF($C$5=Alunos!$B$68,Alunos!A126,IF($C$5=Alunos!$E$68,Alunos!D122,"-"))))</f>
        <v>-</v>
      </c>
      <c r="B67" s="24" t="str">
        <f>IF($C$5=Alunos!$B$5,Alunos!B62,IF($C$5=Alunos!$E$5,Alunos!E62,IF($C$5=Alunos!$B$68,Alunos!B126,IF($C$5=Alunos!$E$68,Alunos!E122,"-"))))</f>
        <v>-</v>
      </c>
      <c r="C67" s="25"/>
      <c r="D67" s="17"/>
      <c r="E67" s="21"/>
      <c r="F67" s="21"/>
      <c r="G67" s="21"/>
      <c r="H67" s="21"/>
      <c r="I67" s="21"/>
      <c r="J67" s="22">
        <f t="shared" si="3"/>
        <v>0</v>
      </c>
      <c r="K67" s="20" t="str">
        <f t="shared" si="4"/>
        <v>-</v>
      </c>
      <c r="L67" s="26" t="e">
        <f>SUM('Fechamento 1'!E66:H66)</f>
        <v>#REF!</v>
      </c>
      <c r="M67" s="20" t="e">
        <f t="shared" si="5"/>
        <v>#REF!</v>
      </c>
    </row>
    <row r="68" spans="1:13" s="6" customFormat="1" ht="12">
      <c r="A68" s="24" t="str">
        <f>IF($C$5=Alunos!$B$5,Alunos!A63,IF($C$5=Alunos!$E$5,Alunos!D63,IF($C$5=Alunos!$B$68,Alunos!A127,IF($C$5=Alunos!$E$68,Alunos!D123,"-"))))</f>
        <v>-</v>
      </c>
      <c r="B68" s="24" t="str">
        <f>IF($C$5=Alunos!$B$5,Alunos!B63,IF($C$5=Alunos!$E$5,Alunos!E63,IF($C$5=Alunos!$B$68,Alunos!B127,IF($C$5=Alunos!$E$68,Alunos!E123,"-"))))</f>
        <v>-</v>
      </c>
      <c r="C68" s="25"/>
      <c r="D68" s="17"/>
      <c r="E68" s="21"/>
      <c r="F68" s="21"/>
      <c r="G68" s="21"/>
      <c r="H68" s="21"/>
      <c r="I68" s="21"/>
      <c r="J68" s="22">
        <f t="shared" si="3"/>
        <v>0</v>
      </c>
      <c r="K68" s="20" t="str">
        <f t="shared" si="4"/>
        <v>-</v>
      </c>
      <c r="L68" s="26" t="e">
        <f>SUM('Fechamento 1'!E67:H67)</f>
        <v>#REF!</v>
      </c>
      <c r="M68" s="20" t="e">
        <f t="shared" si="5"/>
        <v>#REF!</v>
      </c>
    </row>
    <row r="69" spans="1:13" s="6" customFormat="1" ht="12">
      <c r="A69" s="24" t="str">
        <f>IF($C$5=Alunos!$B$5,Alunos!A64,IF($C$5=Alunos!$E$5,Alunos!D64,IF($C$5=Alunos!$B$68,Alunos!A128,IF($C$5=Alunos!$E$68,Alunos!D124,"-"))))</f>
        <v>-</v>
      </c>
      <c r="B69" s="24" t="str">
        <f>IF($C$5=Alunos!$B$5,Alunos!B64,IF($C$5=Alunos!$E$5,Alunos!E64,IF($C$5=Alunos!$B$68,Alunos!B128,IF($C$5=Alunos!$E$68,Alunos!E124,"-"))))</f>
        <v>-</v>
      </c>
      <c r="C69" s="25"/>
      <c r="D69" s="17"/>
      <c r="E69" s="21"/>
      <c r="F69" s="21"/>
      <c r="G69" s="21"/>
      <c r="H69" s="21"/>
      <c r="I69" s="21"/>
      <c r="J69" s="22">
        <f t="shared" si="3"/>
        <v>0</v>
      </c>
      <c r="K69" s="20" t="str">
        <f t="shared" si="4"/>
        <v>-</v>
      </c>
      <c r="L69" s="26" t="e">
        <f>SUM('Fechamento 1'!E68:H68)</f>
        <v>#REF!</v>
      </c>
      <c r="M69" s="20" t="e">
        <f t="shared" si="5"/>
        <v>#REF!</v>
      </c>
    </row>
    <row r="70" spans="1:2" ht="12.75">
      <c r="A70" s="66"/>
      <c r="B70" s="66"/>
    </row>
    <row r="71" spans="1:2" ht="12.75">
      <c r="A71" s="67"/>
      <c r="B71" s="67"/>
    </row>
    <row r="72" spans="3:5" ht="12.75">
      <c r="C72" s="137" t="s">
        <v>16</v>
      </c>
      <c r="D72" s="137"/>
      <c r="E72" s="137"/>
    </row>
    <row r="73" spans="3:5" ht="12.75">
      <c r="C73" s="154" t="s">
        <v>17</v>
      </c>
      <c r="D73" s="154"/>
      <c r="E73" s="23">
        <f>COUNTIF(K12:K68,"Com Média")</f>
        <v>0</v>
      </c>
    </row>
    <row r="74" spans="3:5" ht="12.75">
      <c r="C74" s="154" t="s">
        <v>18</v>
      </c>
      <c r="D74" s="154"/>
      <c r="E74" s="23">
        <f>COUNTIF(K12:K68,"Sem Média")</f>
        <v>0</v>
      </c>
    </row>
    <row r="75" spans="3:5" ht="12.75">
      <c r="C75" s="154" t="s">
        <v>19</v>
      </c>
      <c r="D75" s="154"/>
      <c r="E75" s="23">
        <f>SUM(E73:E74)</f>
        <v>0</v>
      </c>
    </row>
  </sheetData>
  <sheetProtection/>
  <mergeCells count="26">
    <mergeCell ref="C75:D75"/>
    <mergeCell ref="A9:A12"/>
    <mergeCell ref="B9:C12"/>
    <mergeCell ref="D9:D12"/>
    <mergeCell ref="C72:E72"/>
    <mergeCell ref="C73:D73"/>
    <mergeCell ref="C74:D74"/>
    <mergeCell ref="K9:K12"/>
    <mergeCell ref="J9:J11"/>
    <mergeCell ref="A5:B5"/>
    <mergeCell ref="D5:E5"/>
    <mergeCell ref="F5:I5"/>
    <mergeCell ref="J5:K5"/>
    <mergeCell ref="E6:I6"/>
    <mergeCell ref="C1:H2"/>
    <mergeCell ref="I1:I2"/>
    <mergeCell ref="J1:K2"/>
    <mergeCell ref="A4:B4"/>
    <mergeCell ref="D4:E4"/>
    <mergeCell ref="F4:I4"/>
    <mergeCell ref="J4:K4"/>
    <mergeCell ref="L9:L12"/>
    <mergeCell ref="M9:M12"/>
    <mergeCell ref="L1:M3"/>
    <mergeCell ref="L4:M4"/>
    <mergeCell ref="L5:M5"/>
  </mergeCells>
  <conditionalFormatting sqref="J13:J69">
    <cfRule type="cellIs" priority="1" dxfId="0" operator="lessThan" stopIfTrue="1">
      <formula>17.5</formula>
    </cfRule>
    <cfRule type="cellIs" priority="2" dxfId="1" operator="greaterThanOrEqual" stopIfTrue="1">
      <formula>17.5</formula>
    </cfRule>
  </conditionalFormatting>
  <conditionalFormatting sqref="K13:K69">
    <cfRule type="cellIs" priority="3" dxfId="1" operator="equal" stopIfTrue="1">
      <formula>"Com Média"</formula>
    </cfRule>
    <cfRule type="cellIs" priority="4" dxfId="0" operator="equal" stopIfTrue="1">
      <formula>"Sem Média"</formula>
    </cfRule>
  </conditionalFormatting>
  <conditionalFormatting sqref="E13:E69">
    <cfRule type="cellIs" priority="5" dxfId="2" operator="greaterThan" stopIfTrue="1">
      <formula>$E$12</formula>
    </cfRule>
  </conditionalFormatting>
  <conditionalFormatting sqref="F13:F69">
    <cfRule type="cellIs" priority="6" dxfId="2" operator="greaterThan" stopIfTrue="1">
      <formula>$F$12</formula>
    </cfRule>
  </conditionalFormatting>
  <conditionalFormatting sqref="G13:G69">
    <cfRule type="cellIs" priority="7" dxfId="2" operator="greaterThan" stopIfTrue="1">
      <formula>$G$12</formula>
    </cfRule>
  </conditionalFormatting>
  <conditionalFormatting sqref="H13:H69">
    <cfRule type="cellIs" priority="8" dxfId="2" operator="greaterThan" stopIfTrue="1">
      <formula>$H$12</formula>
    </cfRule>
  </conditionalFormatting>
  <conditionalFormatting sqref="I13:I69">
    <cfRule type="cellIs" priority="9" dxfId="2" operator="greaterThan" stopIfTrue="1">
      <formula>$I$12</formula>
    </cfRule>
  </conditionalFormatting>
  <conditionalFormatting sqref="J12">
    <cfRule type="cellIs" priority="10" dxfId="3" operator="greaterThan" stopIfTrue="1">
      <formula>25</formula>
    </cfRule>
  </conditionalFormatting>
  <conditionalFormatting sqref="L13:L69">
    <cfRule type="cellIs" priority="11" dxfId="0" operator="lessThan" stopIfTrue="1">
      <formula>70</formula>
    </cfRule>
    <cfRule type="cellIs" priority="12" dxfId="1" operator="greaterThan" stopIfTrue="1">
      <formula>70</formula>
    </cfRule>
  </conditionalFormatting>
  <conditionalFormatting sqref="M13:M69">
    <cfRule type="cellIs" priority="13" dxfId="1" operator="equal" stopIfTrue="1">
      <formula>"APROVADO"</formula>
    </cfRule>
    <cfRule type="cellIs" priority="14" dxfId="0" operator="equal" stopIfTrue="1">
      <formula>"PROVA ESPECIAL"</formula>
    </cfRule>
  </conditionalFormatting>
  <printOptions/>
  <pageMargins left="0.35" right="0.28" top="0.45" bottom="0.33" header="0.33" footer="0.23"/>
  <pageSetup horizontalDpi="600" verticalDpi="600" orientation="portrait" paperSize="9" scale="7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showGridLines="0" showRowColHeaders="0" showZeros="0" showOutlineSymbols="0" zoomScale="90" zoomScaleNormal="90" workbookViewId="0" topLeftCell="A1">
      <selection activeCell="B50" sqref="B50:K72"/>
    </sheetView>
  </sheetViews>
  <sheetFormatPr defaultColWidth="9.140625" defaultRowHeight="12.75"/>
  <cols>
    <col min="1" max="1" width="3.7109375" style="1" customWidth="1"/>
    <col min="2" max="2" width="9.28125" style="1" customWidth="1"/>
    <col min="3" max="3" width="29.00390625" style="1" customWidth="1"/>
    <col min="4" max="4" width="7.7109375" style="1" customWidth="1"/>
    <col min="5" max="5" width="9.28125" style="1" customWidth="1"/>
    <col min="6" max="9" width="9.421875" style="1" customWidth="1"/>
    <col min="10" max="10" width="12.57421875" style="1" customWidth="1"/>
    <col min="11" max="11" width="11.421875" style="1" customWidth="1"/>
    <col min="12" max="12" width="9.140625" style="1" customWidth="1"/>
    <col min="13" max="19" width="0" style="1" hidden="1" customWidth="1"/>
    <col min="20" max="16384" width="9.140625" style="1" customWidth="1"/>
  </cols>
  <sheetData>
    <row r="1" spans="2:11" ht="12.75" customHeight="1">
      <c r="B1" s="2"/>
      <c r="C1" s="147" t="s">
        <v>0</v>
      </c>
      <c r="D1" s="147"/>
      <c r="E1" s="147"/>
      <c r="F1" s="147"/>
      <c r="G1" s="147"/>
      <c r="H1" s="147"/>
      <c r="I1" s="148"/>
      <c r="J1" s="150" t="s">
        <v>1</v>
      </c>
      <c r="K1" s="150"/>
    </row>
    <row r="2" spans="1:11" ht="12.75" customHeight="1">
      <c r="A2" s="2"/>
      <c r="B2" s="2"/>
      <c r="C2" s="147"/>
      <c r="D2" s="147"/>
      <c r="E2" s="147"/>
      <c r="F2" s="147"/>
      <c r="G2" s="147"/>
      <c r="H2" s="147"/>
      <c r="I2" s="149"/>
      <c r="J2" s="151"/>
      <c r="K2" s="151"/>
    </row>
    <row r="3" ht="12.75">
      <c r="J3" s="3"/>
    </row>
    <row r="4" spans="1:11" s="6" customFormat="1" ht="12">
      <c r="A4" s="143" t="s">
        <v>2</v>
      </c>
      <c r="B4" s="143"/>
      <c r="C4" s="5" t="str">
        <f>Menu!C17</f>
        <v>ADM de Agronegocio</v>
      </c>
      <c r="D4" s="143" t="s">
        <v>3</v>
      </c>
      <c r="E4" s="143"/>
      <c r="F4" s="152" t="str">
        <f>Menu!C9</f>
        <v>Wesley Antônio Gonçalves</v>
      </c>
      <c r="G4" s="152"/>
      <c r="H4" s="152"/>
      <c r="I4" s="152"/>
      <c r="J4" s="153" t="s">
        <v>4</v>
      </c>
      <c r="K4" s="153"/>
    </row>
    <row r="5" spans="1:11" s="6" customFormat="1" ht="12">
      <c r="A5" s="143" t="s">
        <v>5</v>
      </c>
      <c r="B5" s="143"/>
      <c r="C5" s="7" t="str">
        <f>Menu!H17</f>
        <v>ADM41</v>
      </c>
      <c r="D5" s="143" t="s">
        <v>6</v>
      </c>
      <c r="E5" s="143"/>
      <c r="F5" s="165" t="str">
        <f>Menu!E13</f>
        <v>Sistemas de Informação Gerencial</v>
      </c>
      <c r="G5" s="165"/>
      <c r="H5" s="165"/>
      <c r="I5" s="165"/>
      <c r="J5" s="145">
        <f ca="1">NOW()</f>
        <v>39065.43437986111</v>
      </c>
      <c r="K5" s="146"/>
    </row>
    <row r="6" spans="1:11" s="6" customFormat="1" ht="12">
      <c r="A6" s="4" t="s">
        <v>7</v>
      </c>
      <c r="B6" s="4"/>
      <c r="C6" s="8"/>
      <c r="D6" s="143" t="s">
        <v>8</v>
      </c>
      <c r="E6" s="143"/>
      <c r="F6" s="166"/>
      <c r="G6" s="166"/>
      <c r="H6" s="166"/>
      <c r="I6" s="166"/>
      <c r="J6" s="146"/>
      <c r="K6" s="146"/>
    </row>
    <row r="7" spans="3:10" s="6" customFormat="1" ht="12">
      <c r="C7" s="7"/>
      <c r="J7" s="9"/>
    </row>
    <row r="8" spans="1:11" s="6" customFormat="1" ht="12" customHeight="1">
      <c r="A8" s="130" t="s">
        <v>27</v>
      </c>
      <c r="B8" s="131" t="s">
        <v>10</v>
      </c>
      <c r="C8" s="132"/>
      <c r="D8" s="138" t="s">
        <v>11</v>
      </c>
      <c r="E8" s="163" t="s">
        <v>28</v>
      </c>
      <c r="F8" s="163" t="s">
        <v>29</v>
      </c>
      <c r="G8" s="163" t="s">
        <v>30</v>
      </c>
      <c r="H8" s="163" t="s">
        <v>31</v>
      </c>
      <c r="I8" s="163" t="s">
        <v>32</v>
      </c>
      <c r="J8" s="140" t="s">
        <v>13</v>
      </c>
      <c r="K8" s="137" t="s">
        <v>33</v>
      </c>
    </row>
    <row r="9" spans="1:11" s="6" customFormat="1" ht="13.5" customHeight="1">
      <c r="A9" s="130"/>
      <c r="B9" s="133"/>
      <c r="C9" s="134"/>
      <c r="D9" s="138"/>
      <c r="E9" s="164"/>
      <c r="F9" s="164"/>
      <c r="G9" s="164"/>
      <c r="H9" s="164"/>
      <c r="I9" s="164"/>
      <c r="J9" s="141"/>
      <c r="K9" s="137"/>
    </row>
    <row r="10" spans="1:19" s="6" customFormat="1" ht="13.5" customHeight="1" thickBot="1">
      <c r="A10" s="130"/>
      <c r="B10" s="133"/>
      <c r="C10" s="134"/>
      <c r="D10" s="137"/>
      <c r="E10" s="12" t="s">
        <v>15</v>
      </c>
      <c r="F10" s="12" t="s">
        <v>15</v>
      </c>
      <c r="G10" s="12" t="s">
        <v>15</v>
      </c>
      <c r="H10" s="12" t="s">
        <v>15</v>
      </c>
      <c r="I10" s="12" t="s">
        <v>15</v>
      </c>
      <c r="J10" s="142"/>
      <c r="K10" s="137"/>
      <c r="M10" s="6" t="s">
        <v>34</v>
      </c>
      <c r="N10" s="6" t="s">
        <v>35</v>
      </c>
      <c r="O10" s="6" t="s">
        <v>36</v>
      </c>
      <c r="P10" s="6" t="s">
        <v>37</v>
      </c>
      <c r="Q10" s="6" t="s">
        <v>38</v>
      </c>
      <c r="R10" s="6" t="s">
        <v>39</v>
      </c>
      <c r="S10" s="6" t="s">
        <v>40</v>
      </c>
    </row>
    <row r="11" spans="1:11" s="6" customFormat="1" ht="12.75" thickBot="1">
      <c r="A11" s="130"/>
      <c r="B11" s="135"/>
      <c r="C11" s="136"/>
      <c r="D11" s="138"/>
      <c r="E11" s="27">
        <v>25</v>
      </c>
      <c r="F11" s="27">
        <v>25</v>
      </c>
      <c r="G11" s="27">
        <v>25</v>
      </c>
      <c r="H11" s="27">
        <v>25</v>
      </c>
      <c r="I11" s="27">
        <v>100</v>
      </c>
      <c r="J11" s="14">
        <f>IF(SUM(E11:H11)&lt;=100,SUM(E11:H11),"Vr. maior 100,00")</f>
        <v>100</v>
      </c>
      <c r="K11" s="139"/>
    </row>
    <row r="12" spans="1:19" s="6" customFormat="1" ht="12">
      <c r="A12" s="15" t="str">
        <f>IF($C$5=Alunos!$B$5,Alunos!A8,IF($C$5=Alunos!$E$5,Alunos!D8,IF($C$5=Alunos!$B$68,Alunos!A72,IF($C$5=Alunos!$E$68,Alunos!D72,"-"))))</f>
        <v>-</v>
      </c>
      <c r="B12" s="15" t="str">
        <f>IF($C$5=Alunos!$B$5,Alunos!B8,IF($C$5=Alunos!$E$5,Alunos!E8,IF($C$5=Alunos!$B$68,Alunos!B72,IF($C$5=Alunos!$E$68,Alunos!E72,"-"))))</f>
        <v>-</v>
      </c>
      <c r="C12" s="16"/>
      <c r="D12" s="23">
        <f>SUM('1º Bim 1'!D13,'2º Bim 1'!D13,'3º Bim 1'!D13,'4º Bim 1'!D13)</f>
        <v>0</v>
      </c>
      <c r="E12" s="28">
        <f>'1º Bim 1'!L13</f>
        <v>4.51</v>
      </c>
      <c r="F12" s="28">
        <f>'2º Bim 1'!N13</f>
        <v>19.6</v>
      </c>
      <c r="G12" s="28">
        <f>'3º Bim 1'!L13</f>
        <v>20.3</v>
      </c>
      <c r="H12" s="28">
        <f>'4º Bim 1'!J13</f>
        <v>0</v>
      </c>
      <c r="I12" s="18"/>
      <c r="J12" s="19">
        <f aca="true" t="shared" si="0" ref="J12:J43">S12</f>
        <v>44.41</v>
      </c>
      <c r="K12" s="20" t="str">
        <f aca="true" t="shared" si="1" ref="K12:K43">IF(J12&gt;=70,"APROVADO",IF(J12=0,"-","REPROVADO"))</f>
        <v>REPROVADO</v>
      </c>
      <c r="M12" s="29">
        <f aca="true" t="shared" si="2" ref="M12:M43">SUM(E12:H12)</f>
        <v>44.41</v>
      </c>
      <c r="N12" s="29">
        <f aca="true" t="shared" si="3" ref="N12:N43">(70-M12)</f>
        <v>25.590000000000003</v>
      </c>
      <c r="O12" s="29">
        <f aca="true" t="shared" si="4" ref="O12:O43">I12</f>
        <v>0</v>
      </c>
      <c r="P12" s="29">
        <v>30</v>
      </c>
      <c r="Q12" s="29">
        <f aca="true" t="shared" si="5" ref="Q12:Q43">IF(O12=0,0,O12-P12)</f>
        <v>0</v>
      </c>
      <c r="R12" s="29">
        <f aca="true" t="shared" si="6" ref="R12:R43">IF(M12&gt;=70,M12,M12+Q12)</f>
        <v>44.41</v>
      </c>
      <c r="S12" s="6">
        <f aca="true" t="shared" si="7" ref="S12:S43">IF(R12&gt;100,100,R12)</f>
        <v>44.41</v>
      </c>
    </row>
    <row r="13" spans="1:19" s="6" customFormat="1" ht="12">
      <c r="A13" s="15" t="str">
        <f>IF($C$5=Alunos!$B$5,Alunos!A9,IF($C$5=Alunos!$E$5,Alunos!D9,IF($C$5=Alunos!$B$68,Alunos!A73,IF($C$5=Alunos!$E$68,Alunos!#REF!,"-"))))</f>
        <v>-</v>
      </c>
      <c r="B13" s="15" t="str">
        <f>IF($C$5=Alunos!$B$5,Alunos!B9,IF($C$5=Alunos!$E$5,Alunos!E9,IF($C$5=Alunos!$B$68,Alunos!B73,IF($C$5=Alunos!$E$68,Alunos!#REF!,"-"))))</f>
        <v>-</v>
      </c>
      <c r="C13" s="16"/>
      <c r="D13" s="23" t="e">
        <f>SUM('1º Bim 1'!#REF!,'2º Bim 1'!#REF!,'3º Bim 1'!#REF!,'4º Bim 1'!D14)</f>
        <v>#REF!</v>
      </c>
      <c r="E13" s="28" t="e">
        <f>'1º Bim 1'!#REF!</f>
        <v>#REF!</v>
      </c>
      <c r="F13" s="28" t="e">
        <f>'2º Bim 1'!#REF!</f>
        <v>#REF!</v>
      </c>
      <c r="G13" s="28" t="e">
        <f>'3º Bim 1'!#REF!</f>
        <v>#REF!</v>
      </c>
      <c r="H13" s="28">
        <f>'4º Bim 1'!J14</f>
        <v>0</v>
      </c>
      <c r="I13" s="21"/>
      <c r="J13" s="19" t="e">
        <f t="shared" si="0"/>
        <v>#REF!</v>
      </c>
      <c r="K13" s="20" t="e">
        <f t="shared" si="1"/>
        <v>#REF!</v>
      </c>
      <c r="M13" s="29" t="e">
        <f t="shared" si="2"/>
        <v>#REF!</v>
      </c>
      <c r="N13" s="29" t="e">
        <f t="shared" si="3"/>
        <v>#REF!</v>
      </c>
      <c r="O13" s="29">
        <f t="shared" si="4"/>
        <v>0</v>
      </c>
      <c r="P13" s="29">
        <v>30</v>
      </c>
      <c r="Q13" s="29">
        <f t="shared" si="5"/>
        <v>0</v>
      </c>
      <c r="R13" s="29" t="e">
        <f t="shared" si="6"/>
        <v>#REF!</v>
      </c>
      <c r="S13" s="6" t="e">
        <f t="shared" si="7"/>
        <v>#REF!</v>
      </c>
    </row>
    <row r="14" spans="1:19" s="6" customFormat="1" ht="12">
      <c r="A14" s="15" t="str">
        <f>IF($C$5=Alunos!$B$5,Alunos!A10,IF($C$5=Alunos!$E$5,Alunos!D10,IF($C$5=Alunos!$B$68,Alunos!A74,IF($C$5=Alunos!$E$68,Alunos!D73,"-"))))</f>
        <v>-</v>
      </c>
      <c r="B14" s="15" t="str">
        <f>IF($C$5=Alunos!$B$5,Alunos!B10,IF($C$5=Alunos!$E$5,Alunos!E10,IF($C$5=Alunos!$B$68,Alunos!B74,IF($C$5=Alunos!$E$68,Alunos!E73,"-"))))</f>
        <v>-</v>
      </c>
      <c r="C14" s="16"/>
      <c r="D14" s="23">
        <f>SUM('1º Bim 1'!D14,'2º Bim 1'!D14,'3º Bim 1'!D14,'4º Bim 1'!D15)</f>
        <v>0</v>
      </c>
      <c r="E14" s="28">
        <f>'1º Bim 1'!L14</f>
        <v>8.190000000000001</v>
      </c>
      <c r="F14" s="28">
        <f>'2º Bim 1'!N14</f>
        <v>20.400000000000002</v>
      </c>
      <c r="G14" s="28">
        <f>'3º Bim 1'!L14</f>
        <v>16.38</v>
      </c>
      <c r="H14" s="28">
        <f>'4º Bim 1'!J15</f>
        <v>0</v>
      </c>
      <c r="I14" s="21"/>
      <c r="J14" s="19">
        <f t="shared" si="0"/>
        <v>44.97</v>
      </c>
      <c r="K14" s="20" t="str">
        <f t="shared" si="1"/>
        <v>REPROVADO</v>
      </c>
      <c r="M14" s="29">
        <f t="shared" si="2"/>
        <v>44.97</v>
      </c>
      <c r="N14" s="29">
        <f t="shared" si="3"/>
        <v>25.03</v>
      </c>
      <c r="O14" s="29">
        <f t="shared" si="4"/>
        <v>0</v>
      </c>
      <c r="P14" s="29">
        <v>30</v>
      </c>
      <c r="Q14" s="29">
        <f t="shared" si="5"/>
        <v>0</v>
      </c>
      <c r="R14" s="29">
        <f t="shared" si="6"/>
        <v>44.97</v>
      </c>
      <c r="S14" s="6">
        <f t="shared" si="7"/>
        <v>44.97</v>
      </c>
    </row>
    <row r="15" spans="1:19" s="6" customFormat="1" ht="12">
      <c r="A15" s="15" t="str">
        <f>IF($C$5=Alunos!$B$5,Alunos!A11,IF($C$5=Alunos!$E$5,Alunos!D11,IF($C$5=Alunos!$B$68,Alunos!A75,IF($C$5=Alunos!$E$68,Alunos!D74,"-"))))</f>
        <v>-</v>
      </c>
      <c r="B15" s="15" t="str">
        <f>IF($C$5=Alunos!$B$5,Alunos!B11,IF($C$5=Alunos!$E$5,Alunos!E11,IF($C$5=Alunos!$B$68,Alunos!B75,IF($C$5=Alunos!$E$68,Alunos!E74,"-"))))</f>
        <v>-</v>
      </c>
      <c r="C15" s="16"/>
      <c r="D15" s="23">
        <f>SUM('1º Bim 1'!D15,'2º Bim 1'!D15,'3º Bim 1'!D15,'4º Bim 1'!D16)</f>
        <v>0</v>
      </c>
      <c r="E15" s="28">
        <f>'1º Bim 1'!L15</f>
        <v>7.24</v>
      </c>
      <c r="F15" s="28">
        <f>'2º Bim 1'!N15</f>
        <v>19.1</v>
      </c>
      <c r="G15" s="28">
        <f>'3º Bim 1'!L15</f>
        <v>16.15</v>
      </c>
      <c r="H15" s="28">
        <f>'4º Bim 1'!J16</f>
        <v>0</v>
      </c>
      <c r="I15" s="21"/>
      <c r="J15" s="19">
        <f t="shared" si="0"/>
        <v>42.49</v>
      </c>
      <c r="K15" s="20" t="str">
        <f t="shared" si="1"/>
        <v>REPROVADO</v>
      </c>
      <c r="M15" s="29">
        <f t="shared" si="2"/>
        <v>42.49</v>
      </c>
      <c r="N15" s="29">
        <f t="shared" si="3"/>
        <v>27.509999999999998</v>
      </c>
      <c r="O15" s="29">
        <f t="shared" si="4"/>
        <v>0</v>
      </c>
      <c r="P15" s="29">
        <v>30</v>
      </c>
      <c r="Q15" s="29">
        <f t="shared" si="5"/>
        <v>0</v>
      </c>
      <c r="R15" s="29">
        <f t="shared" si="6"/>
        <v>42.49</v>
      </c>
      <c r="S15" s="6">
        <f t="shared" si="7"/>
        <v>42.49</v>
      </c>
    </row>
    <row r="16" spans="1:19" s="6" customFormat="1" ht="12">
      <c r="A16" s="15" t="str">
        <f>IF($C$5=Alunos!$B$5,Alunos!A12,IF($C$5=Alunos!$E$5,Alunos!D12,IF($C$5=Alunos!$B$68,Alunos!A76,IF($C$5=Alunos!$E$68,Alunos!D75,"-"))))</f>
        <v>-</v>
      </c>
      <c r="B16" s="15" t="str">
        <f>IF($C$5=Alunos!$B$5,Alunos!B12,IF($C$5=Alunos!$E$5,Alunos!E12,IF($C$5=Alunos!$B$68,Alunos!B76,IF($C$5=Alunos!$E$68,Alunos!E75,"-"))))</f>
        <v>-</v>
      </c>
      <c r="C16" s="16"/>
      <c r="D16" s="23">
        <f>SUM('1º Bim 1'!D16,'2º Bim 1'!D16,'3º Bim 1'!D16,'4º Bim 1'!D17)</f>
        <v>0</v>
      </c>
      <c r="E16" s="28">
        <f>'1º Bim 1'!L16</f>
        <v>8.940000000000001</v>
      </c>
      <c r="F16" s="28">
        <f>'2º Bim 1'!N16</f>
        <v>22.55</v>
      </c>
      <c r="G16" s="28">
        <f>'3º Bim 1'!L16</f>
        <v>13.74</v>
      </c>
      <c r="H16" s="28">
        <f>'4º Bim 1'!J17</f>
        <v>0</v>
      </c>
      <c r="I16" s="21"/>
      <c r="J16" s="19">
        <f t="shared" si="0"/>
        <v>45.230000000000004</v>
      </c>
      <c r="K16" s="20" t="str">
        <f t="shared" si="1"/>
        <v>REPROVADO</v>
      </c>
      <c r="M16" s="29">
        <f t="shared" si="2"/>
        <v>45.230000000000004</v>
      </c>
      <c r="N16" s="29">
        <f t="shared" si="3"/>
        <v>24.769999999999996</v>
      </c>
      <c r="O16" s="29">
        <f t="shared" si="4"/>
        <v>0</v>
      </c>
      <c r="P16" s="29">
        <v>30</v>
      </c>
      <c r="Q16" s="29">
        <f t="shared" si="5"/>
        <v>0</v>
      </c>
      <c r="R16" s="29">
        <f t="shared" si="6"/>
        <v>45.230000000000004</v>
      </c>
      <c r="S16" s="6">
        <f t="shared" si="7"/>
        <v>45.230000000000004</v>
      </c>
    </row>
    <row r="17" spans="1:19" s="6" customFormat="1" ht="12">
      <c r="A17" s="15" t="str">
        <f>IF($C$5=Alunos!$B$5,Alunos!A13,IF($C$5=Alunos!$E$5,Alunos!D13,IF($C$5=Alunos!$B$68,Alunos!A77,IF($C$5=Alunos!$E$68,Alunos!D76,"-"))))</f>
        <v>-</v>
      </c>
      <c r="B17" s="15" t="str">
        <f>IF($C$5=Alunos!$B$5,Alunos!B13,IF($C$5=Alunos!$E$5,Alunos!E13,IF($C$5=Alunos!$B$68,Alunos!B77,IF($C$5=Alunos!$E$68,Alunos!E76,"-"))))</f>
        <v>-</v>
      </c>
      <c r="C17" s="16"/>
      <c r="D17" s="23">
        <f>SUM('1º Bim 1'!D17,'2º Bim 1'!D17,'3º Bim 1'!D17,'4º Bim 1'!D18)</f>
        <v>0</v>
      </c>
      <c r="E17" s="28">
        <f>'1º Bim 1'!L17</f>
        <v>5.909999999999999</v>
      </c>
      <c r="F17" s="28">
        <f>'2º Bim 1'!N17</f>
        <v>20.200000000000003</v>
      </c>
      <c r="G17" s="28">
        <f>'3º Bim 1'!L17</f>
        <v>14.719999999999999</v>
      </c>
      <c r="H17" s="28">
        <f>'4º Bim 1'!J18</f>
        <v>0</v>
      </c>
      <c r="I17" s="21"/>
      <c r="J17" s="19">
        <f t="shared" si="0"/>
        <v>40.83</v>
      </c>
      <c r="K17" s="20" t="str">
        <f t="shared" si="1"/>
        <v>REPROVADO</v>
      </c>
      <c r="M17" s="29">
        <f t="shared" si="2"/>
        <v>40.83</v>
      </c>
      <c r="N17" s="29">
        <f t="shared" si="3"/>
        <v>29.17</v>
      </c>
      <c r="O17" s="29">
        <f t="shared" si="4"/>
        <v>0</v>
      </c>
      <c r="P17" s="29">
        <v>30</v>
      </c>
      <c r="Q17" s="29">
        <f t="shared" si="5"/>
        <v>0</v>
      </c>
      <c r="R17" s="29">
        <f t="shared" si="6"/>
        <v>40.83</v>
      </c>
      <c r="S17" s="6">
        <f t="shared" si="7"/>
        <v>40.83</v>
      </c>
    </row>
    <row r="18" spans="1:19" s="6" customFormat="1" ht="12">
      <c r="A18" s="15" t="str">
        <f>IF($C$5=Alunos!$B$5,Alunos!A14,IF($C$5=Alunos!$E$5,Alunos!D14,IF($C$5=Alunos!$B$68,Alunos!A78,IF($C$5=Alunos!$E$68,Alunos!D77,"-"))))</f>
        <v>-</v>
      </c>
      <c r="B18" s="15" t="str">
        <f>IF($C$5=Alunos!$B$5,Alunos!B14,IF($C$5=Alunos!$E$5,Alunos!E14,IF($C$5=Alunos!$B$68,Alunos!B78,IF($C$5=Alunos!$E$68,Alunos!E77,"-"))))</f>
        <v>-</v>
      </c>
      <c r="C18" s="16"/>
      <c r="D18" s="23">
        <f>SUM('1º Bim 1'!D18,'2º Bim 1'!D18,'3º Bim 1'!D18,'4º Bim 1'!D19)</f>
        <v>0</v>
      </c>
      <c r="E18" s="28">
        <f>'1º Bim 1'!L18</f>
        <v>6.96</v>
      </c>
      <c r="F18" s="28">
        <f>'2º Bim 1'!N18</f>
        <v>22.119999999999997</v>
      </c>
      <c r="G18" s="28">
        <f>'3º Bim 1'!L18</f>
        <v>18.75</v>
      </c>
      <c r="H18" s="28">
        <f>'4º Bim 1'!J19</f>
        <v>0</v>
      </c>
      <c r="I18" s="21"/>
      <c r="J18" s="19">
        <f t="shared" si="0"/>
        <v>47.83</v>
      </c>
      <c r="K18" s="20" t="str">
        <f t="shared" si="1"/>
        <v>REPROVADO</v>
      </c>
      <c r="M18" s="29">
        <f t="shared" si="2"/>
        <v>47.83</v>
      </c>
      <c r="N18" s="29">
        <f t="shared" si="3"/>
        <v>22.17</v>
      </c>
      <c r="O18" s="29">
        <f t="shared" si="4"/>
        <v>0</v>
      </c>
      <c r="P18" s="29">
        <v>30</v>
      </c>
      <c r="Q18" s="29">
        <f t="shared" si="5"/>
        <v>0</v>
      </c>
      <c r="R18" s="29">
        <f t="shared" si="6"/>
        <v>47.83</v>
      </c>
      <c r="S18" s="6">
        <f t="shared" si="7"/>
        <v>47.83</v>
      </c>
    </row>
    <row r="19" spans="1:19" s="6" customFormat="1" ht="12">
      <c r="A19" s="15" t="str">
        <f>IF($C$5=Alunos!$B$5,Alunos!A15,IF($C$5=Alunos!$E$5,Alunos!D15,IF($C$5=Alunos!$B$68,Alunos!A79,IF($C$5=Alunos!$E$68,Alunos!D78,"-"))))</f>
        <v>-</v>
      </c>
      <c r="B19" s="15" t="str">
        <f>IF($C$5=Alunos!$B$5,Alunos!B15,IF($C$5=Alunos!$E$5,Alunos!E15,IF($C$5=Alunos!$B$68,Alunos!B79,IF($C$5=Alunos!$E$68,Alunos!E78,"-"))))</f>
        <v>-</v>
      </c>
      <c r="C19" s="16"/>
      <c r="D19" s="23">
        <f>SUM('1º Bim 1'!D19,'2º Bim 1'!D19,'3º Bim 1'!D19,'4º Bim 1'!D20)</f>
        <v>0</v>
      </c>
      <c r="E19" s="28">
        <f>'1º Bim 1'!L19</f>
        <v>7.069999999999999</v>
      </c>
      <c r="F19" s="28">
        <f>'2º Bim 1'!N19</f>
        <v>20.9</v>
      </c>
      <c r="G19" s="28">
        <f>'3º Bim 1'!L19</f>
        <v>15</v>
      </c>
      <c r="H19" s="28">
        <f>'4º Bim 1'!J20</f>
        <v>0</v>
      </c>
      <c r="I19" s="21"/>
      <c r="J19" s="19">
        <f t="shared" si="0"/>
        <v>42.97</v>
      </c>
      <c r="K19" s="20" t="str">
        <f t="shared" si="1"/>
        <v>REPROVADO</v>
      </c>
      <c r="M19" s="29">
        <f t="shared" si="2"/>
        <v>42.97</v>
      </c>
      <c r="N19" s="29">
        <f t="shared" si="3"/>
        <v>27.03</v>
      </c>
      <c r="O19" s="29">
        <f t="shared" si="4"/>
        <v>0</v>
      </c>
      <c r="P19" s="29">
        <v>30</v>
      </c>
      <c r="Q19" s="29">
        <f t="shared" si="5"/>
        <v>0</v>
      </c>
      <c r="R19" s="29">
        <f t="shared" si="6"/>
        <v>42.97</v>
      </c>
      <c r="S19" s="6">
        <f t="shared" si="7"/>
        <v>42.97</v>
      </c>
    </row>
    <row r="20" spans="1:19" s="6" customFormat="1" ht="12">
      <c r="A20" s="15" t="str">
        <f>IF($C$5=Alunos!$B$5,Alunos!A16,IF($C$5=Alunos!$E$5,Alunos!D16,IF($C$5=Alunos!$B$68,Alunos!A80,IF($C$5=Alunos!$E$68,Alunos!D79,"-"))))</f>
        <v>-</v>
      </c>
      <c r="B20" s="15" t="str">
        <f>IF($C$5=Alunos!$B$5,Alunos!B16,IF($C$5=Alunos!$E$5,Alunos!E16,IF($C$5=Alunos!$B$68,Alunos!B80,IF($C$5=Alunos!$E$68,Alunos!E79,"-"))))</f>
        <v>-</v>
      </c>
      <c r="C20" s="16"/>
      <c r="D20" s="23">
        <f>SUM('1º Bim 1'!D20,'2º Bim 1'!D20,'3º Bim 1'!D20,'4º Bim 1'!D21)</f>
        <v>0</v>
      </c>
      <c r="E20" s="28">
        <f>'1º Bim 1'!L20</f>
        <v>9.219999999999999</v>
      </c>
      <c r="F20" s="28">
        <f>'2º Bim 1'!N20</f>
        <v>19.52</v>
      </c>
      <c r="G20" s="28">
        <f>'3º Bim 1'!L20</f>
        <v>12.85</v>
      </c>
      <c r="H20" s="28">
        <f>'4º Bim 1'!J21</f>
        <v>0</v>
      </c>
      <c r="I20" s="21"/>
      <c r="J20" s="19">
        <f t="shared" si="0"/>
        <v>41.589999999999996</v>
      </c>
      <c r="K20" s="20" t="str">
        <f t="shared" si="1"/>
        <v>REPROVADO</v>
      </c>
      <c r="M20" s="29">
        <f t="shared" si="2"/>
        <v>41.589999999999996</v>
      </c>
      <c r="N20" s="29">
        <f t="shared" si="3"/>
        <v>28.410000000000004</v>
      </c>
      <c r="O20" s="29">
        <f t="shared" si="4"/>
        <v>0</v>
      </c>
      <c r="P20" s="29">
        <v>30</v>
      </c>
      <c r="Q20" s="29">
        <f t="shared" si="5"/>
        <v>0</v>
      </c>
      <c r="R20" s="29">
        <f t="shared" si="6"/>
        <v>41.589999999999996</v>
      </c>
      <c r="S20" s="6">
        <f t="shared" si="7"/>
        <v>41.589999999999996</v>
      </c>
    </row>
    <row r="21" spans="1:19" s="6" customFormat="1" ht="12">
      <c r="A21" s="15" t="str">
        <f>IF($C$5=Alunos!$B$5,Alunos!A17,IF($C$5=Alunos!$E$5,Alunos!D17,IF($C$5=Alunos!$B$68,Alunos!A81,IF($C$5=Alunos!$E$68,Alunos!D80,"-"))))</f>
        <v>-</v>
      </c>
      <c r="B21" s="15" t="str">
        <f>IF($C$5=Alunos!$B$5,Alunos!B17,IF($C$5=Alunos!$E$5,Alunos!E17,IF($C$5=Alunos!$B$68,Alunos!B81,IF($C$5=Alunos!$E$68,Alunos!E80,"-"))))</f>
        <v>-</v>
      </c>
      <c r="C21" s="16"/>
      <c r="D21" s="23">
        <f>SUM('1º Bim 1'!D21,'2º Bim 1'!D21,'3º Bim 1'!D21,'4º Bim 1'!D22)</f>
        <v>0</v>
      </c>
      <c r="E21" s="28">
        <f>'1º Bim 1'!L21</f>
        <v>7.8500000000000005</v>
      </c>
      <c r="F21" s="28">
        <f>'2º Bim 1'!N21</f>
        <v>21.09</v>
      </c>
      <c r="G21" s="28">
        <f>'3º Bim 1'!L21</f>
        <v>19.5</v>
      </c>
      <c r="H21" s="28">
        <f>'4º Bim 1'!J22</f>
        <v>0</v>
      </c>
      <c r="I21" s="21"/>
      <c r="J21" s="19">
        <f t="shared" si="0"/>
        <v>48.44</v>
      </c>
      <c r="K21" s="20" t="str">
        <f t="shared" si="1"/>
        <v>REPROVADO</v>
      </c>
      <c r="M21" s="29">
        <f t="shared" si="2"/>
        <v>48.44</v>
      </c>
      <c r="N21" s="29">
        <f t="shared" si="3"/>
        <v>21.560000000000002</v>
      </c>
      <c r="O21" s="29">
        <f t="shared" si="4"/>
        <v>0</v>
      </c>
      <c r="P21" s="29">
        <v>30</v>
      </c>
      <c r="Q21" s="29">
        <f t="shared" si="5"/>
        <v>0</v>
      </c>
      <c r="R21" s="29">
        <f t="shared" si="6"/>
        <v>48.44</v>
      </c>
      <c r="S21" s="6">
        <f t="shared" si="7"/>
        <v>48.44</v>
      </c>
    </row>
    <row r="22" spans="1:19" s="6" customFormat="1" ht="12">
      <c r="A22" s="15" t="str">
        <f>IF($C$5=Alunos!$B$5,Alunos!A18,IF($C$5=Alunos!$E$5,Alunos!D18,IF($C$5=Alunos!$B$68,Alunos!A82,IF($C$5=Alunos!$E$68,Alunos!D81,"-"))))</f>
        <v>-</v>
      </c>
      <c r="B22" s="15" t="str">
        <f>IF($C$5=Alunos!$B$5,Alunos!B18,IF($C$5=Alunos!$E$5,Alunos!E18,IF($C$5=Alunos!$B$68,Alunos!B82,IF($C$5=Alunos!$E$68,Alunos!E81,"-"))))</f>
        <v>-</v>
      </c>
      <c r="C22" s="16"/>
      <c r="D22" s="23">
        <f>SUM('1º Bim 1'!D22,'2º Bim 1'!D22,'3º Bim 1'!D22,'4º Bim 1'!D23)</f>
        <v>0</v>
      </c>
      <c r="E22" s="28">
        <f>'1º Bim 1'!L22</f>
        <v>7.35</v>
      </c>
      <c r="F22" s="28">
        <f>'2º Bim 1'!N22</f>
        <v>23.9</v>
      </c>
      <c r="G22" s="28">
        <f>'3º Bim 1'!L22</f>
        <v>16.15</v>
      </c>
      <c r="H22" s="28">
        <f>'4º Bim 1'!J23</f>
        <v>0</v>
      </c>
      <c r="I22" s="21"/>
      <c r="J22" s="19">
        <f t="shared" si="0"/>
        <v>47.4</v>
      </c>
      <c r="K22" s="20" t="str">
        <f t="shared" si="1"/>
        <v>REPROVADO</v>
      </c>
      <c r="M22" s="29">
        <f t="shared" si="2"/>
        <v>47.4</v>
      </c>
      <c r="N22" s="29">
        <f t="shared" si="3"/>
        <v>22.6</v>
      </c>
      <c r="O22" s="29">
        <f t="shared" si="4"/>
        <v>0</v>
      </c>
      <c r="P22" s="29">
        <v>30</v>
      </c>
      <c r="Q22" s="29">
        <f t="shared" si="5"/>
        <v>0</v>
      </c>
      <c r="R22" s="29">
        <f t="shared" si="6"/>
        <v>47.4</v>
      </c>
      <c r="S22" s="6">
        <f t="shared" si="7"/>
        <v>47.4</v>
      </c>
    </row>
    <row r="23" spans="1:19" s="6" customFormat="1" ht="12">
      <c r="A23" s="15" t="str">
        <f>IF($C$5=Alunos!$B$5,Alunos!A19,IF($C$5=Alunos!$E$5,Alunos!D19,IF($C$5=Alunos!$B$68,Alunos!A83,IF($C$5=Alunos!$E$68,Alunos!D82,"-"))))</f>
        <v>-</v>
      </c>
      <c r="B23" s="15" t="str">
        <f>IF($C$5=Alunos!$B$5,Alunos!B19,IF($C$5=Alunos!$E$5,Alunos!E19,IF($C$5=Alunos!$B$68,Alunos!B83,IF($C$5=Alunos!$E$68,Alunos!E82,"-"))))</f>
        <v>-</v>
      </c>
      <c r="C23" s="16"/>
      <c r="D23" s="23">
        <f>SUM('1º Bim 1'!D23,'2º Bim 1'!D23,'3º Bim 1'!D23,'4º Bim 1'!D24)</f>
        <v>0</v>
      </c>
      <c r="E23" s="28">
        <f>'1º Bim 1'!L23</f>
        <v>8.969999999999999</v>
      </c>
      <c r="F23" s="28">
        <f>'2º Bim 1'!N23</f>
        <v>17.060000000000002</v>
      </c>
      <c r="G23" s="28">
        <f>'3º Bim 1'!L23</f>
        <v>12.25</v>
      </c>
      <c r="H23" s="28">
        <f>'4º Bim 1'!J24</f>
        <v>0</v>
      </c>
      <c r="I23" s="21"/>
      <c r="J23" s="19">
        <f t="shared" si="0"/>
        <v>38.28</v>
      </c>
      <c r="K23" s="20" t="str">
        <f t="shared" si="1"/>
        <v>REPROVADO</v>
      </c>
      <c r="M23" s="29">
        <f t="shared" si="2"/>
        <v>38.28</v>
      </c>
      <c r="N23" s="29">
        <f t="shared" si="3"/>
        <v>31.72</v>
      </c>
      <c r="O23" s="29">
        <f t="shared" si="4"/>
        <v>0</v>
      </c>
      <c r="P23" s="29">
        <v>30</v>
      </c>
      <c r="Q23" s="29">
        <f t="shared" si="5"/>
        <v>0</v>
      </c>
      <c r="R23" s="29">
        <f t="shared" si="6"/>
        <v>38.28</v>
      </c>
      <c r="S23" s="6">
        <f t="shared" si="7"/>
        <v>38.28</v>
      </c>
    </row>
    <row r="24" spans="1:19" s="6" customFormat="1" ht="12">
      <c r="A24" s="15" t="str">
        <f>IF($C$5=Alunos!$B$5,Alunos!A20,IF($C$5=Alunos!$E$5,Alunos!D20,IF($C$5=Alunos!$B$68,Alunos!A84,IF($C$5=Alunos!$E$68,Alunos!D83,"-"))))</f>
        <v>-</v>
      </c>
      <c r="B24" s="15" t="str">
        <f>IF($C$5=Alunos!$B$5,Alunos!B20,IF($C$5=Alunos!$E$5,Alunos!E20,IF($C$5=Alunos!$B$68,Alunos!B84,IF($C$5=Alunos!$E$68,Alunos!E83,"-"))))</f>
        <v>-</v>
      </c>
      <c r="C24" s="16"/>
      <c r="D24" s="23">
        <f>SUM('1º Bim 1'!D24,'2º Bim 1'!D24,'3º Bim 1'!D24,'4º Bim 1'!D25)</f>
        <v>0</v>
      </c>
      <c r="E24" s="28">
        <f>'1º Bim 1'!L24</f>
        <v>8.51</v>
      </c>
      <c r="F24" s="28">
        <f>'2º Bim 1'!N24</f>
        <v>19.67</v>
      </c>
      <c r="G24" s="28">
        <f>'3º Bim 1'!L24</f>
        <v>13.7</v>
      </c>
      <c r="H24" s="28">
        <f>'4º Bim 1'!J25</f>
        <v>0</v>
      </c>
      <c r="I24" s="21"/>
      <c r="J24" s="19">
        <f t="shared" si="0"/>
        <v>41.879999999999995</v>
      </c>
      <c r="K24" s="20" t="str">
        <f t="shared" si="1"/>
        <v>REPROVADO</v>
      </c>
      <c r="M24" s="29">
        <f t="shared" si="2"/>
        <v>41.879999999999995</v>
      </c>
      <c r="N24" s="29">
        <f t="shared" si="3"/>
        <v>28.120000000000005</v>
      </c>
      <c r="O24" s="29">
        <f t="shared" si="4"/>
        <v>0</v>
      </c>
      <c r="P24" s="29">
        <v>30</v>
      </c>
      <c r="Q24" s="29">
        <f t="shared" si="5"/>
        <v>0</v>
      </c>
      <c r="R24" s="29">
        <f t="shared" si="6"/>
        <v>41.879999999999995</v>
      </c>
      <c r="S24" s="6">
        <f t="shared" si="7"/>
        <v>41.879999999999995</v>
      </c>
    </row>
    <row r="25" spans="1:19" s="6" customFormat="1" ht="12">
      <c r="A25" s="15" t="str">
        <f>IF($C$5=Alunos!$B$5,Alunos!A21,IF($C$5=Alunos!$E$5,Alunos!D21,IF($C$5=Alunos!$B$68,Alunos!A85,IF($C$5=Alunos!$E$68,Alunos!D84,"-"))))</f>
        <v>-</v>
      </c>
      <c r="B25" s="15" t="str">
        <f>IF($C$5=Alunos!$B$5,Alunos!B21,IF($C$5=Alunos!$E$5,Alunos!E21,IF($C$5=Alunos!$B$68,Alunos!B85,IF($C$5=Alunos!$E$68,Alunos!E84,"-"))))</f>
        <v>-</v>
      </c>
      <c r="C25" s="16"/>
      <c r="D25" s="23">
        <f>SUM('1º Bim 1'!D25,'2º Bim 1'!D25,'3º Bim 1'!D25,'4º Bim 1'!D26)</f>
        <v>0</v>
      </c>
      <c r="E25" s="28">
        <f>'1º Bim 1'!L25</f>
        <v>8.4</v>
      </c>
      <c r="F25" s="28">
        <f>'2º Bim 1'!N25</f>
        <v>23.9</v>
      </c>
      <c r="G25" s="28">
        <f>'3º Bim 1'!L25</f>
        <v>22.18</v>
      </c>
      <c r="H25" s="28">
        <f>'4º Bim 1'!J26</f>
        <v>0</v>
      </c>
      <c r="I25" s="21"/>
      <c r="J25" s="19">
        <f t="shared" si="0"/>
        <v>54.48</v>
      </c>
      <c r="K25" s="20" t="str">
        <f t="shared" si="1"/>
        <v>REPROVADO</v>
      </c>
      <c r="M25" s="29">
        <f t="shared" si="2"/>
        <v>54.48</v>
      </c>
      <c r="N25" s="29">
        <f t="shared" si="3"/>
        <v>15.520000000000003</v>
      </c>
      <c r="O25" s="29">
        <f t="shared" si="4"/>
        <v>0</v>
      </c>
      <c r="P25" s="29">
        <v>30</v>
      </c>
      <c r="Q25" s="29">
        <f t="shared" si="5"/>
        <v>0</v>
      </c>
      <c r="R25" s="29">
        <f t="shared" si="6"/>
        <v>54.48</v>
      </c>
      <c r="S25" s="6">
        <f t="shared" si="7"/>
        <v>54.48</v>
      </c>
    </row>
    <row r="26" spans="1:19" s="6" customFormat="1" ht="12">
      <c r="A26" s="15" t="str">
        <f>IF($C$5=Alunos!$B$5,Alunos!A22,IF($C$5=Alunos!$E$5,Alunos!D22,IF($C$5=Alunos!$B$68,Alunos!A86,IF($C$5=Alunos!$E$68,Alunos!D85,"-"))))</f>
        <v>-</v>
      </c>
      <c r="B26" s="15" t="str">
        <f>IF($C$5=Alunos!$B$5,Alunos!B22,IF($C$5=Alunos!$E$5,Alunos!E22,IF($C$5=Alunos!$B$68,Alunos!B86,IF($C$5=Alunos!$E$68,Alunos!E85,"-"))))</f>
        <v>-</v>
      </c>
      <c r="C26" s="16"/>
      <c r="D26" s="23">
        <f>SUM('1º Bim 1'!D26,'2º Bim 1'!D26,'3º Bim 1'!D26,'4º Bim 1'!D27)</f>
        <v>0</v>
      </c>
      <c r="E26" s="28">
        <f>'1º Bim 1'!L26</f>
        <v>8</v>
      </c>
      <c r="F26" s="28">
        <f>'2º Bim 1'!N26</f>
        <v>20.700000000000003</v>
      </c>
      <c r="G26" s="28">
        <f>'3º Bim 1'!L26</f>
        <v>18.5</v>
      </c>
      <c r="H26" s="28">
        <f>'4º Bim 1'!J27</f>
        <v>0</v>
      </c>
      <c r="I26" s="21"/>
      <c r="J26" s="19">
        <f t="shared" si="0"/>
        <v>47.2</v>
      </c>
      <c r="K26" s="20" t="str">
        <f t="shared" si="1"/>
        <v>REPROVADO</v>
      </c>
      <c r="M26" s="29">
        <f t="shared" si="2"/>
        <v>47.2</v>
      </c>
      <c r="N26" s="29">
        <f t="shared" si="3"/>
        <v>22.799999999999997</v>
      </c>
      <c r="O26" s="29">
        <f t="shared" si="4"/>
        <v>0</v>
      </c>
      <c r="P26" s="29">
        <v>30</v>
      </c>
      <c r="Q26" s="29">
        <f t="shared" si="5"/>
        <v>0</v>
      </c>
      <c r="R26" s="29">
        <f t="shared" si="6"/>
        <v>47.2</v>
      </c>
      <c r="S26" s="6">
        <f t="shared" si="7"/>
        <v>47.2</v>
      </c>
    </row>
    <row r="27" spans="1:19" s="6" customFormat="1" ht="12">
      <c r="A27" s="15" t="str">
        <f>IF($C$5=Alunos!$B$5,Alunos!A23,IF($C$5=Alunos!$E$5,Alunos!D23,IF($C$5=Alunos!$B$68,Alunos!A87,IF($C$5=Alunos!$E$68,Alunos!D86,"-"))))</f>
        <v>-</v>
      </c>
      <c r="B27" s="15" t="str">
        <f>IF($C$5=Alunos!$B$5,Alunos!B23,IF($C$5=Alunos!$E$5,Alunos!E23,IF($C$5=Alunos!$B$68,Alunos!B87,IF($C$5=Alunos!$E$68,Alunos!E86,"-"))))</f>
        <v>-</v>
      </c>
      <c r="C27" s="16"/>
      <c r="D27" s="23" t="e">
        <f>SUM('1º Bim 1'!D27,'2º Bim 1'!D27,'3º Bim 1'!#REF!,'4º Bim 1'!D28)</f>
        <v>#REF!</v>
      </c>
      <c r="E27" s="28">
        <f>'1º Bim 1'!L27</f>
        <v>6.92</v>
      </c>
      <c r="F27" s="28">
        <f>'2º Bim 1'!N27</f>
        <v>9.1</v>
      </c>
      <c r="G27" s="28" t="e">
        <f>'3º Bim 1'!#REF!</f>
        <v>#REF!</v>
      </c>
      <c r="H27" s="28">
        <f>'4º Bim 1'!J28</f>
        <v>0</v>
      </c>
      <c r="I27" s="21"/>
      <c r="J27" s="19" t="e">
        <f t="shared" si="0"/>
        <v>#REF!</v>
      </c>
      <c r="K27" s="20" t="e">
        <f t="shared" si="1"/>
        <v>#REF!</v>
      </c>
      <c r="M27" s="29" t="e">
        <f t="shared" si="2"/>
        <v>#REF!</v>
      </c>
      <c r="N27" s="29" t="e">
        <f t="shared" si="3"/>
        <v>#REF!</v>
      </c>
      <c r="O27" s="29">
        <f t="shared" si="4"/>
        <v>0</v>
      </c>
      <c r="P27" s="29">
        <v>30</v>
      </c>
      <c r="Q27" s="29">
        <f t="shared" si="5"/>
        <v>0</v>
      </c>
      <c r="R27" s="29" t="e">
        <f t="shared" si="6"/>
        <v>#REF!</v>
      </c>
      <c r="S27" s="6" t="e">
        <f t="shared" si="7"/>
        <v>#REF!</v>
      </c>
    </row>
    <row r="28" spans="1:19" s="6" customFormat="1" ht="12">
      <c r="A28" s="15" t="str">
        <f>IF($C$5=Alunos!$B$5,Alunos!A24,IF($C$5=Alunos!$E$5,Alunos!D24,IF($C$5=Alunos!$B$68,Alunos!A88,IF($C$5=Alunos!$E$68,Alunos!D87,"-"))))</f>
        <v>-</v>
      </c>
      <c r="B28" s="15" t="str">
        <f>IF($C$5=Alunos!$B$5,Alunos!B24,IF($C$5=Alunos!$E$5,Alunos!E24,IF($C$5=Alunos!$B$68,Alunos!B88,IF($C$5=Alunos!$E$68,Alunos!E87,"-"))))</f>
        <v>-</v>
      </c>
      <c r="C28" s="16"/>
      <c r="D28" s="23">
        <f>SUM('1º Bim 1'!D28,'2º Bim 1'!D28,'3º Bim 1'!D27,'4º Bim 1'!D29)</f>
        <v>0</v>
      </c>
      <c r="E28" s="28">
        <f>'1º Bim 1'!L28</f>
        <v>5.53</v>
      </c>
      <c r="F28" s="28">
        <f>'2º Bim 1'!N28</f>
        <v>20.400000000000002</v>
      </c>
      <c r="G28" s="28">
        <f>'3º Bim 1'!L27</f>
        <v>21.759999999999998</v>
      </c>
      <c r="H28" s="28">
        <f>'4º Bim 1'!J29</f>
        <v>0</v>
      </c>
      <c r="I28" s="21"/>
      <c r="J28" s="19">
        <f t="shared" si="0"/>
        <v>47.69</v>
      </c>
      <c r="K28" s="20" t="str">
        <f t="shared" si="1"/>
        <v>REPROVADO</v>
      </c>
      <c r="M28" s="29">
        <f t="shared" si="2"/>
        <v>47.69</v>
      </c>
      <c r="N28" s="29">
        <f t="shared" si="3"/>
        <v>22.310000000000002</v>
      </c>
      <c r="O28" s="29">
        <f t="shared" si="4"/>
        <v>0</v>
      </c>
      <c r="P28" s="29">
        <v>30</v>
      </c>
      <c r="Q28" s="29">
        <f t="shared" si="5"/>
        <v>0</v>
      </c>
      <c r="R28" s="29">
        <f t="shared" si="6"/>
        <v>47.69</v>
      </c>
      <c r="S28" s="6">
        <f t="shared" si="7"/>
        <v>47.69</v>
      </c>
    </row>
    <row r="29" spans="1:19" s="6" customFormat="1" ht="12">
      <c r="A29" s="15" t="str">
        <f>IF($C$5=Alunos!$B$5,Alunos!A25,IF($C$5=Alunos!$E$5,Alunos!D25,IF($C$5=Alunos!$B$68,Alunos!A89,IF($C$5=Alunos!$E$68,Alunos!D88,"-"))))</f>
        <v>-</v>
      </c>
      <c r="B29" s="15" t="str">
        <f>IF($C$5=Alunos!$B$5,Alunos!B25,IF($C$5=Alunos!$E$5,Alunos!E25,IF($C$5=Alunos!$B$68,Alunos!B89,IF($C$5=Alunos!$E$68,Alunos!E88,"-"))))</f>
        <v>-</v>
      </c>
      <c r="C29" s="16"/>
      <c r="D29" s="23">
        <f>SUM('1º Bim 1'!D29,'2º Bim 1'!D29,'3º Bim 1'!D28,'4º Bim 1'!D30)</f>
        <v>0</v>
      </c>
      <c r="E29" s="28">
        <f>'1º Bim 1'!L29</f>
        <v>7.789999999999999</v>
      </c>
      <c r="F29" s="28">
        <f>'2º Bim 1'!N29</f>
        <v>19.55</v>
      </c>
      <c r="G29" s="28">
        <f>'3º Bim 1'!L28</f>
        <v>11.05</v>
      </c>
      <c r="H29" s="28">
        <f>'4º Bim 1'!J30</f>
        <v>0</v>
      </c>
      <c r="I29" s="21"/>
      <c r="J29" s="19">
        <f t="shared" si="0"/>
        <v>38.39</v>
      </c>
      <c r="K29" s="20" t="str">
        <f t="shared" si="1"/>
        <v>REPROVADO</v>
      </c>
      <c r="M29" s="29">
        <f t="shared" si="2"/>
        <v>38.39</v>
      </c>
      <c r="N29" s="29">
        <f t="shared" si="3"/>
        <v>31.61</v>
      </c>
      <c r="O29" s="29">
        <f t="shared" si="4"/>
        <v>0</v>
      </c>
      <c r="P29" s="29">
        <v>30</v>
      </c>
      <c r="Q29" s="29">
        <f t="shared" si="5"/>
        <v>0</v>
      </c>
      <c r="R29" s="29">
        <f t="shared" si="6"/>
        <v>38.39</v>
      </c>
      <c r="S29" s="6">
        <f t="shared" si="7"/>
        <v>38.39</v>
      </c>
    </row>
    <row r="30" spans="1:19" s="6" customFormat="1" ht="12">
      <c r="A30" s="15" t="str">
        <f>IF($C$5=Alunos!$B$5,Alunos!A26,IF($C$5=Alunos!$E$5,Alunos!D26,IF($C$5=Alunos!$B$68,Alunos!A90,IF($C$5=Alunos!$E$68,Alunos!D89,"-"))))</f>
        <v>-</v>
      </c>
      <c r="B30" s="15" t="str">
        <f>IF($C$5=Alunos!$B$5,Alunos!B26,IF($C$5=Alunos!$E$5,Alunos!E26,IF($C$5=Alunos!$B$68,Alunos!B90,IF($C$5=Alunos!$E$68,Alunos!E89,"-"))))</f>
        <v>-</v>
      </c>
      <c r="C30" s="16"/>
      <c r="D30" s="23">
        <f>SUM('1º Bim 1'!D30,'2º Bim 1'!D30,'3º Bim 1'!D29,'4º Bim 1'!D31)</f>
        <v>0</v>
      </c>
      <c r="E30" s="28">
        <f>'1º Bim 1'!L30</f>
        <v>8.11</v>
      </c>
      <c r="F30" s="28">
        <f>'2º Bim 1'!N30</f>
        <v>16.15</v>
      </c>
      <c r="G30" s="28">
        <f>'3º Bim 1'!L29</f>
        <v>13.5</v>
      </c>
      <c r="H30" s="28">
        <f>'4º Bim 1'!J31</f>
        <v>0</v>
      </c>
      <c r="I30" s="21"/>
      <c r="J30" s="19">
        <f t="shared" si="0"/>
        <v>37.76</v>
      </c>
      <c r="K30" s="20" t="str">
        <f t="shared" si="1"/>
        <v>REPROVADO</v>
      </c>
      <c r="M30" s="29">
        <f t="shared" si="2"/>
        <v>37.76</v>
      </c>
      <c r="N30" s="29">
        <f t="shared" si="3"/>
        <v>32.24</v>
      </c>
      <c r="O30" s="29">
        <f t="shared" si="4"/>
        <v>0</v>
      </c>
      <c r="P30" s="29">
        <v>30</v>
      </c>
      <c r="Q30" s="29">
        <f t="shared" si="5"/>
        <v>0</v>
      </c>
      <c r="R30" s="29">
        <f t="shared" si="6"/>
        <v>37.76</v>
      </c>
      <c r="S30" s="6">
        <f t="shared" si="7"/>
        <v>37.76</v>
      </c>
    </row>
    <row r="31" spans="1:19" s="6" customFormat="1" ht="12">
      <c r="A31" s="15" t="str">
        <f>IF($C$5=Alunos!$B$5,Alunos!A27,IF($C$5=Alunos!$E$5,Alunos!D27,IF($C$5=Alunos!$B$68,Alunos!A91,IF($C$5=Alunos!$E$68,Alunos!#REF!,"-"))))</f>
        <v>-</v>
      </c>
      <c r="B31" s="15" t="str">
        <f>IF($C$5=Alunos!$B$5,Alunos!B27,IF($C$5=Alunos!$E$5,Alunos!E27,IF($C$5=Alunos!$B$68,Alunos!B91,IF($C$5=Alunos!$E$68,Alunos!#REF!,"-"))))</f>
        <v>-</v>
      </c>
      <c r="C31" s="16"/>
      <c r="D31" s="23" t="e">
        <f>SUM('1º Bim 1'!#REF!,'2º Bim 1'!#REF!,'3º Bim 1'!#REF!,'4º Bim 1'!D32)</f>
        <v>#REF!</v>
      </c>
      <c r="E31" s="28" t="e">
        <f>'1º Bim 1'!#REF!</f>
        <v>#REF!</v>
      </c>
      <c r="F31" s="28" t="e">
        <f>'2º Bim 1'!#REF!</f>
        <v>#REF!</v>
      </c>
      <c r="G31" s="28" t="e">
        <f>'3º Bim 1'!#REF!</f>
        <v>#REF!</v>
      </c>
      <c r="H31" s="28">
        <f>'4º Bim 1'!J32</f>
        <v>0</v>
      </c>
      <c r="I31" s="21"/>
      <c r="J31" s="19" t="e">
        <f t="shared" si="0"/>
        <v>#REF!</v>
      </c>
      <c r="K31" s="20" t="e">
        <f t="shared" si="1"/>
        <v>#REF!</v>
      </c>
      <c r="M31" s="29" t="e">
        <f t="shared" si="2"/>
        <v>#REF!</v>
      </c>
      <c r="N31" s="29" t="e">
        <f t="shared" si="3"/>
        <v>#REF!</v>
      </c>
      <c r="O31" s="29">
        <f t="shared" si="4"/>
        <v>0</v>
      </c>
      <c r="P31" s="29">
        <v>30</v>
      </c>
      <c r="Q31" s="29">
        <f t="shared" si="5"/>
        <v>0</v>
      </c>
      <c r="R31" s="29" t="e">
        <f t="shared" si="6"/>
        <v>#REF!</v>
      </c>
      <c r="S31" s="6" t="e">
        <f t="shared" si="7"/>
        <v>#REF!</v>
      </c>
    </row>
    <row r="32" spans="1:19" s="6" customFormat="1" ht="12">
      <c r="A32" s="15" t="str">
        <f>IF($C$5=Alunos!$B$5,Alunos!A28,IF($C$5=Alunos!$E$5,Alunos!D28,IF($C$5=Alunos!$B$68,Alunos!A92,IF($C$5=Alunos!$E$68,Alunos!D90,"-"))))</f>
        <v>-</v>
      </c>
      <c r="B32" s="15" t="str">
        <f>IF($C$5=Alunos!$B$5,Alunos!B28,IF($C$5=Alunos!$E$5,Alunos!E28,IF($C$5=Alunos!$B$68,Alunos!B92,IF($C$5=Alunos!$E$68,Alunos!E90,"-"))))</f>
        <v>-</v>
      </c>
      <c r="C32" s="16"/>
      <c r="D32" s="23">
        <f>SUM('1º Bim 1'!D31,'2º Bim 1'!D31,'3º Bim 1'!D30,'4º Bim 1'!D33)</f>
        <v>0</v>
      </c>
      <c r="E32" s="28">
        <f>'1º Bim 1'!L31</f>
        <v>7.23</v>
      </c>
      <c r="F32" s="28">
        <f>'2º Bim 1'!N31</f>
        <v>22.1</v>
      </c>
      <c r="G32" s="28">
        <f>'3º Bim 1'!L30</f>
        <v>23</v>
      </c>
      <c r="H32" s="28">
        <f>'4º Bim 1'!J33</f>
        <v>0</v>
      </c>
      <c r="I32" s="21"/>
      <c r="J32" s="19">
        <f t="shared" si="0"/>
        <v>52.33</v>
      </c>
      <c r="K32" s="20" t="str">
        <f t="shared" si="1"/>
        <v>REPROVADO</v>
      </c>
      <c r="M32" s="29">
        <f t="shared" si="2"/>
        <v>52.33</v>
      </c>
      <c r="N32" s="29">
        <f t="shared" si="3"/>
        <v>17.67</v>
      </c>
      <c r="O32" s="29">
        <f t="shared" si="4"/>
        <v>0</v>
      </c>
      <c r="P32" s="29">
        <v>30</v>
      </c>
      <c r="Q32" s="29">
        <f t="shared" si="5"/>
        <v>0</v>
      </c>
      <c r="R32" s="29">
        <f t="shared" si="6"/>
        <v>52.33</v>
      </c>
      <c r="S32" s="6">
        <f t="shared" si="7"/>
        <v>52.33</v>
      </c>
    </row>
    <row r="33" spans="1:19" s="6" customFormat="1" ht="12">
      <c r="A33" s="15" t="str">
        <f>IF($C$5=Alunos!$B$5,Alunos!A29,IF($C$5=Alunos!$E$5,Alunos!D29,IF($C$5=Alunos!$B$68,Alunos!A93,IF($C$5=Alunos!$E$68,Alunos!D91,"-"))))</f>
        <v>-</v>
      </c>
      <c r="B33" s="15" t="str">
        <f>IF($C$5=Alunos!$B$5,Alunos!B29,IF($C$5=Alunos!$E$5,Alunos!E29,IF($C$5=Alunos!$B$68,Alunos!B93,IF($C$5=Alunos!$E$68,Alunos!E91,"-"))))</f>
        <v>-</v>
      </c>
      <c r="C33" s="16"/>
      <c r="D33" s="23">
        <f>SUM('1º Bim 1'!D32,'2º Bim 1'!D32,'3º Bim 1'!D31,'4º Bim 1'!D34)</f>
        <v>0</v>
      </c>
      <c r="E33" s="28">
        <f>'1º Bim 1'!L32</f>
        <v>9.05</v>
      </c>
      <c r="F33" s="28">
        <f>'2º Bim 1'!N32</f>
        <v>23.25</v>
      </c>
      <c r="G33" s="28">
        <f>'3º Bim 1'!L31</f>
        <v>11.75</v>
      </c>
      <c r="H33" s="28">
        <f>'4º Bim 1'!J34</f>
        <v>0</v>
      </c>
      <c r="I33" s="21"/>
      <c r="J33" s="19">
        <f t="shared" si="0"/>
        <v>44.05</v>
      </c>
      <c r="K33" s="20" t="str">
        <f t="shared" si="1"/>
        <v>REPROVADO</v>
      </c>
      <c r="M33" s="29">
        <f t="shared" si="2"/>
        <v>44.05</v>
      </c>
      <c r="N33" s="29">
        <f t="shared" si="3"/>
        <v>25.950000000000003</v>
      </c>
      <c r="O33" s="29">
        <f t="shared" si="4"/>
        <v>0</v>
      </c>
      <c r="P33" s="29">
        <v>30</v>
      </c>
      <c r="Q33" s="29">
        <f t="shared" si="5"/>
        <v>0</v>
      </c>
      <c r="R33" s="29">
        <f t="shared" si="6"/>
        <v>44.05</v>
      </c>
      <c r="S33" s="6">
        <f t="shared" si="7"/>
        <v>44.05</v>
      </c>
    </row>
    <row r="34" spans="1:19" s="6" customFormat="1" ht="12">
      <c r="A34" s="15" t="str">
        <f>IF($C$5=Alunos!$B$5,Alunos!A30,IF($C$5=Alunos!$E$5,Alunos!D30,IF($C$5=Alunos!$B$68,Alunos!A94,IF($C$5=Alunos!$E$68,Alunos!D92,"-"))))</f>
        <v>-</v>
      </c>
      <c r="B34" s="15" t="str">
        <f>IF($C$5=Alunos!$B$5,Alunos!B30,IF($C$5=Alunos!$E$5,Alunos!E30,IF($C$5=Alunos!$B$68,Alunos!B94,IF($C$5=Alunos!$E$68,Alunos!E92,"-"))))</f>
        <v>-</v>
      </c>
      <c r="C34" s="16"/>
      <c r="D34" s="23">
        <f>SUM('1º Bim 1'!D33,'2º Bim 1'!D33,'3º Bim 1'!D32,'4º Bim 1'!D35)</f>
        <v>0</v>
      </c>
      <c r="E34" s="28">
        <f>'1º Bim 1'!L33</f>
        <v>7.2299999999999995</v>
      </c>
      <c r="F34" s="28">
        <f>'2º Bim 1'!N33</f>
        <v>21.8</v>
      </c>
      <c r="G34" s="28">
        <f>'3º Bim 1'!L32</f>
        <v>20.05</v>
      </c>
      <c r="H34" s="28">
        <f>'4º Bim 1'!J35</f>
        <v>0</v>
      </c>
      <c r="I34" s="21"/>
      <c r="J34" s="19">
        <f t="shared" si="0"/>
        <v>49.08</v>
      </c>
      <c r="K34" s="20" t="str">
        <f t="shared" si="1"/>
        <v>REPROVADO</v>
      </c>
      <c r="M34" s="29">
        <f t="shared" si="2"/>
        <v>49.08</v>
      </c>
      <c r="N34" s="29">
        <f t="shared" si="3"/>
        <v>20.92</v>
      </c>
      <c r="O34" s="29">
        <f t="shared" si="4"/>
        <v>0</v>
      </c>
      <c r="P34" s="29">
        <v>30</v>
      </c>
      <c r="Q34" s="29">
        <f t="shared" si="5"/>
        <v>0</v>
      </c>
      <c r="R34" s="29">
        <f t="shared" si="6"/>
        <v>49.08</v>
      </c>
      <c r="S34" s="6">
        <f t="shared" si="7"/>
        <v>49.08</v>
      </c>
    </row>
    <row r="35" spans="1:19" s="6" customFormat="1" ht="12">
      <c r="A35" s="15" t="str">
        <f>IF($C$5=Alunos!$B$5,Alunos!A31,IF($C$5=Alunos!$E$5,Alunos!D31,IF($C$5=Alunos!$B$68,Alunos!A95,IF($C$5=Alunos!$E$68,Alunos!D93,"-"))))</f>
        <v>-</v>
      </c>
      <c r="B35" s="15" t="str">
        <f>IF($C$5=Alunos!$B$5,Alunos!B31,IF($C$5=Alunos!$E$5,Alunos!E31,IF($C$5=Alunos!$B$68,Alunos!B95,IF($C$5=Alunos!$E$68,Alunos!E93,"-"))))</f>
        <v>-</v>
      </c>
      <c r="C35" s="16"/>
      <c r="D35" s="23">
        <f>SUM('1º Bim 1'!D34,'2º Bim 1'!D34,'3º Bim 1'!D33,'4º Bim 1'!D36)</f>
        <v>0</v>
      </c>
      <c r="E35" s="28">
        <f>'1º Bim 1'!L34</f>
        <v>7.3100000000000005</v>
      </c>
      <c r="F35" s="28">
        <f>'2º Bim 1'!N34</f>
        <v>20.900000000000002</v>
      </c>
      <c r="G35" s="28">
        <f>'3º Bim 1'!L33</f>
        <v>20.06</v>
      </c>
      <c r="H35" s="28">
        <f>'4º Bim 1'!J36</f>
        <v>0</v>
      </c>
      <c r="I35" s="21"/>
      <c r="J35" s="19">
        <f t="shared" si="0"/>
        <v>48.269999999999996</v>
      </c>
      <c r="K35" s="20" t="str">
        <f t="shared" si="1"/>
        <v>REPROVADO</v>
      </c>
      <c r="M35" s="29">
        <f t="shared" si="2"/>
        <v>48.269999999999996</v>
      </c>
      <c r="N35" s="29">
        <f t="shared" si="3"/>
        <v>21.730000000000004</v>
      </c>
      <c r="O35" s="29">
        <f t="shared" si="4"/>
        <v>0</v>
      </c>
      <c r="P35" s="29">
        <v>30</v>
      </c>
      <c r="Q35" s="29">
        <f t="shared" si="5"/>
        <v>0</v>
      </c>
      <c r="R35" s="29">
        <f t="shared" si="6"/>
        <v>48.269999999999996</v>
      </c>
      <c r="S35" s="6">
        <f t="shared" si="7"/>
        <v>48.269999999999996</v>
      </c>
    </row>
    <row r="36" spans="1:19" s="6" customFormat="1" ht="12">
      <c r="A36" s="15" t="str">
        <f>IF($C$5=Alunos!$B$5,Alunos!A32,IF($C$5=Alunos!$E$5,Alunos!D32,IF($C$5=Alunos!$B$68,Alunos!A96,IF($C$5=Alunos!$E$68,Alunos!D94,"-"))))</f>
        <v>-</v>
      </c>
      <c r="B36" s="15" t="str">
        <f>IF($C$5=Alunos!$B$5,Alunos!B32,IF($C$5=Alunos!$E$5,Alunos!E32,IF($C$5=Alunos!$B$68,Alunos!B96,IF($C$5=Alunos!$E$68,Alunos!E94,"-"))))</f>
        <v>-</v>
      </c>
      <c r="C36" s="16"/>
      <c r="D36" s="23">
        <f>SUM('1º Bim 1'!D35,'2º Bim 1'!D35,'3º Bim 1'!D34,'4º Bim 1'!D37)</f>
        <v>0</v>
      </c>
      <c r="E36" s="28">
        <f>'1º Bim 1'!L35</f>
        <v>7.87</v>
      </c>
      <c r="F36" s="28">
        <f>'2º Bim 1'!N35</f>
        <v>16.950000000000003</v>
      </c>
      <c r="G36" s="28">
        <f>'3º Bim 1'!L34</f>
        <v>20.25</v>
      </c>
      <c r="H36" s="28">
        <f>'4º Bim 1'!J37</f>
        <v>0</v>
      </c>
      <c r="I36" s="21"/>
      <c r="J36" s="19">
        <f t="shared" si="0"/>
        <v>45.07000000000001</v>
      </c>
      <c r="K36" s="20" t="str">
        <f t="shared" si="1"/>
        <v>REPROVADO</v>
      </c>
      <c r="M36" s="29">
        <f t="shared" si="2"/>
        <v>45.07000000000001</v>
      </c>
      <c r="N36" s="29">
        <f t="shared" si="3"/>
        <v>24.929999999999993</v>
      </c>
      <c r="O36" s="29">
        <f t="shared" si="4"/>
        <v>0</v>
      </c>
      <c r="P36" s="29">
        <v>30</v>
      </c>
      <c r="Q36" s="29">
        <f t="shared" si="5"/>
        <v>0</v>
      </c>
      <c r="R36" s="29">
        <f t="shared" si="6"/>
        <v>45.07000000000001</v>
      </c>
      <c r="S36" s="6">
        <f t="shared" si="7"/>
        <v>45.07000000000001</v>
      </c>
    </row>
    <row r="37" spans="1:19" s="6" customFormat="1" ht="12">
      <c r="A37" s="15" t="str">
        <f>IF($C$5=Alunos!$B$5,Alunos!A33,IF($C$5=Alunos!$E$5,Alunos!D33,IF($C$5=Alunos!$B$68,Alunos!A97,IF($C$5=Alunos!$E$68,Alunos!D95,"-"))))</f>
        <v>-</v>
      </c>
      <c r="B37" s="15" t="str">
        <f>IF($C$5=Alunos!$B$5,Alunos!B33,IF($C$5=Alunos!$E$5,Alunos!E33,IF($C$5=Alunos!$B$68,Alunos!B97,IF($C$5=Alunos!$E$68,Alunos!E95,"-"))))</f>
        <v>-</v>
      </c>
      <c r="C37" s="16"/>
      <c r="D37" s="23">
        <f>SUM('1º Bim 1'!D36,'2º Bim 1'!D36,'3º Bim 1'!D35,'4º Bim 1'!D38)</f>
        <v>0</v>
      </c>
      <c r="E37" s="28">
        <f>'1º Bim 1'!L36</f>
        <v>8.01</v>
      </c>
      <c r="F37" s="28">
        <f>'2º Bim 1'!N36</f>
        <v>23.65</v>
      </c>
      <c r="G37" s="28">
        <f>'3º Bim 1'!L35</f>
        <v>20</v>
      </c>
      <c r="H37" s="28">
        <f>'4º Bim 1'!J38</f>
        <v>0</v>
      </c>
      <c r="I37" s="21"/>
      <c r="J37" s="19">
        <f t="shared" si="0"/>
        <v>51.66</v>
      </c>
      <c r="K37" s="20" t="str">
        <f t="shared" si="1"/>
        <v>REPROVADO</v>
      </c>
      <c r="M37" s="29">
        <f t="shared" si="2"/>
        <v>51.66</v>
      </c>
      <c r="N37" s="29">
        <f t="shared" si="3"/>
        <v>18.340000000000003</v>
      </c>
      <c r="O37" s="29">
        <f t="shared" si="4"/>
        <v>0</v>
      </c>
      <c r="P37" s="29">
        <v>30</v>
      </c>
      <c r="Q37" s="29">
        <f t="shared" si="5"/>
        <v>0</v>
      </c>
      <c r="R37" s="29">
        <f t="shared" si="6"/>
        <v>51.66</v>
      </c>
      <c r="S37" s="6">
        <f t="shared" si="7"/>
        <v>51.66</v>
      </c>
    </row>
    <row r="38" spans="1:19" s="6" customFormat="1" ht="12">
      <c r="A38" s="15" t="str">
        <f>IF($C$5=Alunos!$B$5,Alunos!A34,IF($C$5=Alunos!$E$5,Alunos!D34,IF($C$5=Alunos!$B$68,Alunos!A98,IF($C$5=Alunos!$E$68,Alunos!D96,"-"))))</f>
        <v>-</v>
      </c>
      <c r="B38" s="15" t="str">
        <f>IF($C$5=Alunos!$B$5,Alunos!B34,IF($C$5=Alunos!$E$5,Alunos!E34,IF($C$5=Alunos!$B$68,Alunos!B98,IF($C$5=Alunos!$E$68,Alunos!E96,"-"))))</f>
        <v>-</v>
      </c>
      <c r="C38" s="16"/>
      <c r="D38" s="23">
        <f>SUM('1º Bim 1'!D37,'2º Bim 1'!D37,'3º Bim 1'!D36,'4º Bim 1'!D39)</f>
        <v>0</v>
      </c>
      <c r="E38" s="28">
        <f>'1º Bim 1'!L37</f>
        <v>7.07</v>
      </c>
      <c r="F38" s="28">
        <f>'2º Bim 1'!N37</f>
        <v>22.15</v>
      </c>
      <c r="G38" s="28">
        <f>'3º Bim 1'!L36</f>
        <v>15.17</v>
      </c>
      <c r="H38" s="28">
        <f>'4º Bim 1'!J39</f>
        <v>0</v>
      </c>
      <c r="I38" s="21"/>
      <c r="J38" s="19">
        <f t="shared" si="0"/>
        <v>44.39</v>
      </c>
      <c r="K38" s="20" t="str">
        <f t="shared" si="1"/>
        <v>REPROVADO</v>
      </c>
      <c r="M38" s="29">
        <f t="shared" si="2"/>
        <v>44.39</v>
      </c>
      <c r="N38" s="29">
        <f t="shared" si="3"/>
        <v>25.61</v>
      </c>
      <c r="O38" s="29">
        <f t="shared" si="4"/>
        <v>0</v>
      </c>
      <c r="P38" s="29">
        <v>30</v>
      </c>
      <c r="Q38" s="29">
        <f t="shared" si="5"/>
        <v>0</v>
      </c>
      <c r="R38" s="29">
        <f t="shared" si="6"/>
        <v>44.39</v>
      </c>
      <c r="S38" s="6">
        <f t="shared" si="7"/>
        <v>44.39</v>
      </c>
    </row>
    <row r="39" spans="1:19" s="6" customFormat="1" ht="12">
      <c r="A39" s="15" t="str">
        <f>IF($C$5=Alunos!$B$5,Alunos!A35,IF($C$5=Alunos!$E$5,Alunos!D35,IF($C$5=Alunos!$B$68,Alunos!A99,IF($C$5=Alunos!$E$68,Alunos!D97,"-"))))</f>
        <v>-</v>
      </c>
      <c r="B39" s="15" t="str">
        <f>IF($C$5=Alunos!$B$5,Alunos!B35,IF($C$5=Alunos!$E$5,Alunos!E35,IF($C$5=Alunos!$B$68,Alunos!B99,IF($C$5=Alunos!$E$68,Alunos!E97,"-"))))</f>
        <v>-</v>
      </c>
      <c r="C39" s="16"/>
      <c r="D39" s="23">
        <f>SUM('1º Bim 1'!D38,'2º Bim 1'!D38,'3º Bim 1'!D37,'4º Bim 1'!D40)</f>
        <v>0</v>
      </c>
      <c r="E39" s="28">
        <f>'1º Bim 1'!L38</f>
        <v>7.459999999999999</v>
      </c>
      <c r="F39" s="28">
        <f>'2º Bim 1'!N38</f>
        <v>23.700000000000003</v>
      </c>
      <c r="G39" s="28">
        <f>'3º Bim 1'!L37</f>
        <v>19.5</v>
      </c>
      <c r="H39" s="28">
        <f>'4º Bim 1'!J40</f>
        <v>0</v>
      </c>
      <c r="I39" s="21"/>
      <c r="J39" s="19">
        <f t="shared" si="0"/>
        <v>50.660000000000004</v>
      </c>
      <c r="K39" s="20" t="str">
        <f t="shared" si="1"/>
        <v>REPROVADO</v>
      </c>
      <c r="M39" s="29">
        <f t="shared" si="2"/>
        <v>50.660000000000004</v>
      </c>
      <c r="N39" s="29">
        <f t="shared" si="3"/>
        <v>19.339999999999996</v>
      </c>
      <c r="O39" s="29">
        <f t="shared" si="4"/>
        <v>0</v>
      </c>
      <c r="P39" s="29">
        <v>30</v>
      </c>
      <c r="Q39" s="29">
        <f t="shared" si="5"/>
        <v>0</v>
      </c>
      <c r="R39" s="29">
        <f t="shared" si="6"/>
        <v>50.660000000000004</v>
      </c>
      <c r="S39" s="6">
        <f t="shared" si="7"/>
        <v>50.660000000000004</v>
      </c>
    </row>
    <row r="40" spans="1:19" s="6" customFormat="1" ht="12">
      <c r="A40" s="15" t="str">
        <f>IF($C$5=Alunos!$B$5,Alunos!A36,IF($C$5=Alunos!$E$5,Alunos!D36,IF($C$5=Alunos!$B$68,Alunos!A100,IF($C$5=Alunos!$E$68,Alunos!#REF!,"-"))))</f>
        <v>-</v>
      </c>
      <c r="B40" s="15" t="str">
        <f>IF($C$5=Alunos!$B$5,Alunos!B36,IF($C$5=Alunos!$E$5,Alunos!E36,IF($C$5=Alunos!$B$68,Alunos!B100,IF($C$5=Alunos!$E$68,Alunos!#REF!,"-"))))</f>
        <v>-</v>
      </c>
      <c r="C40" s="16"/>
      <c r="D40" s="23" t="e">
        <f>SUM('1º Bim 1'!#REF!,'2º Bim 1'!#REF!,'3º Bim 1'!#REF!,'4º Bim 1'!D41)</f>
        <v>#REF!</v>
      </c>
      <c r="E40" s="28" t="e">
        <f>'1º Bim 1'!#REF!</f>
        <v>#REF!</v>
      </c>
      <c r="F40" s="28" t="e">
        <f>'2º Bim 1'!#REF!</f>
        <v>#REF!</v>
      </c>
      <c r="G40" s="28" t="e">
        <f>'3º Bim 1'!#REF!</f>
        <v>#REF!</v>
      </c>
      <c r="H40" s="28">
        <f>'4º Bim 1'!J41</f>
        <v>0</v>
      </c>
      <c r="I40" s="21"/>
      <c r="J40" s="19" t="e">
        <f t="shared" si="0"/>
        <v>#REF!</v>
      </c>
      <c r="K40" s="20" t="e">
        <f t="shared" si="1"/>
        <v>#REF!</v>
      </c>
      <c r="M40" s="29" t="e">
        <f t="shared" si="2"/>
        <v>#REF!</v>
      </c>
      <c r="N40" s="29" t="e">
        <f t="shared" si="3"/>
        <v>#REF!</v>
      </c>
      <c r="O40" s="29">
        <f t="shared" si="4"/>
        <v>0</v>
      </c>
      <c r="P40" s="29">
        <v>30</v>
      </c>
      <c r="Q40" s="29">
        <f t="shared" si="5"/>
        <v>0</v>
      </c>
      <c r="R40" s="29" t="e">
        <f t="shared" si="6"/>
        <v>#REF!</v>
      </c>
      <c r="S40" s="6" t="e">
        <f t="shared" si="7"/>
        <v>#REF!</v>
      </c>
    </row>
    <row r="41" spans="1:19" s="6" customFormat="1" ht="12">
      <c r="A41" s="15" t="str">
        <f>IF($C$5=Alunos!$B$5,Alunos!A37,IF($C$5=Alunos!$E$5,Alunos!D37,IF($C$5=Alunos!$B$68,Alunos!A101,IF($C$5=Alunos!$E$68,Alunos!D98,"-"))))</f>
        <v>-</v>
      </c>
      <c r="B41" s="15" t="str">
        <f>IF($C$5=Alunos!$B$5,Alunos!B37,IF($C$5=Alunos!$E$5,Alunos!E37,IF($C$5=Alunos!$B$68,Alunos!B101,IF($C$5=Alunos!$E$68,Alunos!E98,"-"))))</f>
        <v>-</v>
      </c>
      <c r="C41" s="16"/>
      <c r="D41" s="23">
        <f>SUM('1º Bim 1'!D39,'2º Bim 1'!D39,'3º Bim 1'!D38,'4º Bim 1'!D42)</f>
        <v>0</v>
      </c>
      <c r="E41" s="28">
        <f>'1º Bim 1'!L39</f>
        <v>9.879999999999999</v>
      </c>
      <c r="F41" s="28">
        <f>'2º Bim 1'!N39</f>
        <v>19.15</v>
      </c>
      <c r="G41" s="28">
        <f>'3º Bim 1'!L38</f>
        <v>14.25</v>
      </c>
      <c r="H41" s="28">
        <f>'4º Bim 1'!J42</f>
        <v>0</v>
      </c>
      <c r="I41" s="21"/>
      <c r="J41" s="19">
        <f t="shared" si="0"/>
        <v>43.28</v>
      </c>
      <c r="K41" s="20" t="str">
        <f t="shared" si="1"/>
        <v>REPROVADO</v>
      </c>
      <c r="M41" s="29">
        <f t="shared" si="2"/>
        <v>43.28</v>
      </c>
      <c r="N41" s="29">
        <f t="shared" si="3"/>
        <v>26.72</v>
      </c>
      <c r="O41" s="29">
        <f t="shared" si="4"/>
        <v>0</v>
      </c>
      <c r="P41" s="29">
        <v>30</v>
      </c>
      <c r="Q41" s="29">
        <f t="shared" si="5"/>
        <v>0</v>
      </c>
      <c r="R41" s="29">
        <f t="shared" si="6"/>
        <v>43.28</v>
      </c>
      <c r="S41" s="6">
        <f t="shared" si="7"/>
        <v>43.28</v>
      </c>
    </row>
    <row r="42" spans="1:19" s="6" customFormat="1" ht="12">
      <c r="A42" s="15" t="str">
        <f>IF($C$5=Alunos!$B$5,Alunos!A38,IF($C$5=Alunos!$E$5,Alunos!D38,IF($C$5=Alunos!$B$68,Alunos!A102,IF($C$5=Alunos!$E$68,Alunos!D99,"-"))))</f>
        <v>-</v>
      </c>
      <c r="B42" s="15" t="str">
        <f>IF($C$5=Alunos!$B$5,Alunos!B38,IF($C$5=Alunos!$E$5,Alunos!E38,IF($C$5=Alunos!$B$68,Alunos!B102,IF($C$5=Alunos!$E$68,Alunos!E99,"-"))))</f>
        <v>-</v>
      </c>
      <c r="C42" s="16"/>
      <c r="D42" s="23">
        <f>SUM('1º Bim 1'!D40,'2º Bim 1'!D40,'3º Bim 1'!D39,'4º Bim 1'!D43)</f>
        <v>0</v>
      </c>
      <c r="E42" s="28">
        <f>'1º Bim 1'!L40</f>
        <v>4.64</v>
      </c>
      <c r="F42" s="28">
        <f>'2º Bim 1'!N40</f>
        <v>17.590000000000003</v>
      </c>
      <c r="G42" s="28">
        <f>'3º Bim 1'!L39</f>
        <v>14.870000000000001</v>
      </c>
      <c r="H42" s="28">
        <f>'4º Bim 1'!J43</f>
        <v>0</v>
      </c>
      <c r="I42" s="21"/>
      <c r="J42" s="19">
        <f t="shared" si="0"/>
        <v>37.10000000000001</v>
      </c>
      <c r="K42" s="20" t="str">
        <f t="shared" si="1"/>
        <v>REPROVADO</v>
      </c>
      <c r="M42" s="29">
        <f t="shared" si="2"/>
        <v>37.10000000000001</v>
      </c>
      <c r="N42" s="29">
        <f t="shared" si="3"/>
        <v>32.89999999999999</v>
      </c>
      <c r="O42" s="29">
        <f t="shared" si="4"/>
        <v>0</v>
      </c>
      <c r="P42" s="29">
        <v>30</v>
      </c>
      <c r="Q42" s="29">
        <f t="shared" si="5"/>
        <v>0</v>
      </c>
      <c r="R42" s="29">
        <f t="shared" si="6"/>
        <v>37.10000000000001</v>
      </c>
      <c r="S42" s="6">
        <f t="shared" si="7"/>
        <v>37.10000000000001</v>
      </c>
    </row>
    <row r="43" spans="1:19" s="6" customFormat="1" ht="12">
      <c r="A43" s="15" t="str">
        <f>IF($C$5=Alunos!$B$5,Alunos!A39,IF($C$5=Alunos!$E$5,Alunos!D39,IF($C$5=Alunos!$B$68,Alunos!A103,IF($C$5=Alunos!$E$68,Alunos!D100,"-"))))</f>
        <v>-</v>
      </c>
      <c r="B43" s="15" t="str">
        <f>IF($C$5=Alunos!$B$5,Alunos!B39,IF($C$5=Alunos!$E$5,Alunos!E39,IF($C$5=Alunos!$B$68,Alunos!B103,IF($C$5=Alunos!$E$68,Alunos!E100,"-"))))</f>
        <v>-</v>
      </c>
      <c r="C43" s="16"/>
      <c r="D43" s="23">
        <f>SUM('1º Bim 1'!D41,'2º Bim 1'!D41,'3º Bim 1'!D40,'4º Bim 1'!D44)</f>
        <v>0</v>
      </c>
      <c r="E43" s="28">
        <f>'1º Bim 1'!L41</f>
        <v>6</v>
      </c>
      <c r="F43" s="28">
        <f>'2º Bim 1'!N41</f>
        <v>21.95</v>
      </c>
      <c r="G43" s="28">
        <f>'3º Bim 1'!L40</f>
        <v>11.52</v>
      </c>
      <c r="H43" s="28">
        <f>'4º Bim 1'!J44</f>
        <v>0</v>
      </c>
      <c r="I43" s="21"/>
      <c r="J43" s="19">
        <f t="shared" si="0"/>
        <v>39.47</v>
      </c>
      <c r="K43" s="20" t="str">
        <f t="shared" si="1"/>
        <v>REPROVADO</v>
      </c>
      <c r="M43" s="29">
        <f t="shared" si="2"/>
        <v>39.47</v>
      </c>
      <c r="N43" s="29">
        <f t="shared" si="3"/>
        <v>30.53</v>
      </c>
      <c r="O43" s="29">
        <f t="shared" si="4"/>
        <v>0</v>
      </c>
      <c r="P43" s="29">
        <v>30</v>
      </c>
      <c r="Q43" s="29">
        <f t="shared" si="5"/>
        <v>0</v>
      </c>
      <c r="R43" s="29">
        <f t="shared" si="6"/>
        <v>39.47</v>
      </c>
      <c r="S43" s="6">
        <f t="shared" si="7"/>
        <v>39.47</v>
      </c>
    </row>
    <row r="44" spans="1:19" s="6" customFormat="1" ht="12">
      <c r="A44" s="15" t="str">
        <f>IF($C$5=Alunos!$B$5,Alunos!A40,IF($C$5=Alunos!$E$5,Alunos!D40,IF($C$5=Alunos!$B$68,Alunos!A104,IF($C$5=Alunos!$E$68,Alunos!#REF!,"-"))))</f>
        <v>-</v>
      </c>
      <c r="B44" s="15" t="str">
        <f>IF($C$5=Alunos!$B$5,Alunos!B40,IF($C$5=Alunos!$E$5,Alunos!E40,IF($C$5=Alunos!$B$68,Alunos!B104,IF($C$5=Alunos!$E$68,Alunos!#REF!,"-"))))</f>
        <v>-</v>
      </c>
      <c r="C44" s="16"/>
      <c r="D44" s="23" t="e">
        <f>SUM('1º Bim 1'!#REF!,'2º Bim 1'!#REF!,'3º Bim 1'!#REF!,'4º Bim 1'!D45)</f>
        <v>#REF!</v>
      </c>
      <c r="E44" s="28" t="e">
        <f>'1º Bim 1'!#REF!</f>
        <v>#REF!</v>
      </c>
      <c r="F44" s="28" t="e">
        <f>'2º Bim 1'!#REF!</f>
        <v>#REF!</v>
      </c>
      <c r="G44" s="28" t="e">
        <f>'3º Bim 1'!#REF!</f>
        <v>#REF!</v>
      </c>
      <c r="H44" s="28">
        <f>'4º Bim 1'!J45</f>
        <v>0</v>
      </c>
      <c r="I44" s="21"/>
      <c r="J44" s="19" t="e">
        <f aca="true" t="shared" si="8" ref="J44:J68">S44</f>
        <v>#REF!</v>
      </c>
      <c r="K44" s="20" t="e">
        <f aca="true" t="shared" si="9" ref="K44:K68">IF(J44&gt;=70,"APROVADO",IF(J44=0,"-","REPROVADO"))</f>
        <v>#REF!</v>
      </c>
      <c r="M44" s="29" t="e">
        <f aca="true" t="shared" si="10" ref="M44:M68">SUM(E44:H44)</f>
        <v>#REF!</v>
      </c>
      <c r="N44" s="29" t="e">
        <f aca="true" t="shared" si="11" ref="N44:N68">(70-M44)</f>
        <v>#REF!</v>
      </c>
      <c r="O44" s="29">
        <f aca="true" t="shared" si="12" ref="O44:O68">I44</f>
        <v>0</v>
      </c>
      <c r="P44" s="29">
        <v>30</v>
      </c>
      <c r="Q44" s="29">
        <f aca="true" t="shared" si="13" ref="Q44:Q68">IF(O44=0,0,O44-P44)</f>
        <v>0</v>
      </c>
      <c r="R44" s="29" t="e">
        <f aca="true" t="shared" si="14" ref="R44:R68">IF(M44&gt;=70,M44,M44+Q44)</f>
        <v>#REF!</v>
      </c>
      <c r="S44" s="6" t="e">
        <f aca="true" t="shared" si="15" ref="S44:S68">IF(R44&gt;100,100,R44)</f>
        <v>#REF!</v>
      </c>
    </row>
    <row r="45" spans="1:19" s="6" customFormat="1" ht="12">
      <c r="A45" s="15" t="str">
        <f>IF($C$5=Alunos!$B$5,Alunos!A41,IF($C$5=Alunos!$E$5,Alunos!D41,IF($C$5=Alunos!$B$68,Alunos!A105,IF($C$5=Alunos!$E$68,Alunos!D101,"-"))))</f>
        <v>-</v>
      </c>
      <c r="B45" s="15" t="str">
        <f>IF($C$5=Alunos!$B$5,Alunos!B41,IF($C$5=Alunos!$E$5,Alunos!E41,IF($C$5=Alunos!$B$68,Alunos!B105,IF($C$5=Alunos!$E$68,Alunos!E101,"-"))))</f>
        <v>-</v>
      </c>
      <c r="C45" s="16"/>
      <c r="D45" s="23">
        <f>SUM('1º Bim 1'!D42,'2º Bim 1'!D42,'3º Bim 1'!D41,'4º Bim 1'!D46)</f>
        <v>0</v>
      </c>
      <c r="E45" s="28">
        <f>'1º Bim 1'!L42</f>
        <v>8.76</v>
      </c>
      <c r="F45" s="28">
        <f>'2º Bim 1'!N42</f>
        <v>17.73</v>
      </c>
      <c r="G45" s="28">
        <f>'3º Bim 1'!L41</f>
        <v>15.65</v>
      </c>
      <c r="H45" s="28">
        <f>'4º Bim 1'!J46</f>
        <v>0</v>
      </c>
      <c r="I45" s="21"/>
      <c r="J45" s="19">
        <f t="shared" si="8"/>
        <v>42.14</v>
      </c>
      <c r="K45" s="20" t="str">
        <f t="shared" si="9"/>
        <v>REPROVADO</v>
      </c>
      <c r="M45" s="29">
        <f t="shared" si="10"/>
        <v>42.14</v>
      </c>
      <c r="N45" s="29">
        <f t="shared" si="11"/>
        <v>27.86</v>
      </c>
      <c r="O45" s="29">
        <f t="shared" si="12"/>
        <v>0</v>
      </c>
      <c r="P45" s="29">
        <v>30</v>
      </c>
      <c r="Q45" s="29">
        <f t="shared" si="13"/>
        <v>0</v>
      </c>
      <c r="R45" s="29">
        <f t="shared" si="14"/>
        <v>42.14</v>
      </c>
      <c r="S45" s="6">
        <f t="shared" si="15"/>
        <v>42.14</v>
      </c>
    </row>
    <row r="46" spans="1:19" s="6" customFormat="1" ht="12">
      <c r="A46" s="15" t="str">
        <f>IF($C$5=Alunos!$B$5,Alunos!A42,IF($C$5=Alunos!$E$5,Alunos!D42,IF($C$5=Alunos!$B$68,Alunos!A106,IF($C$5=Alunos!$E$68,Alunos!D102,"-"))))</f>
        <v>-</v>
      </c>
      <c r="B46" s="15" t="str">
        <f>IF($C$5=Alunos!$B$5,Alunos!B42,IF($C$5=Alunos!$E$5,Alunos!E42,IF($C$5=Alunos!$B$68,Alunos!B106,IF($C$5=Alunos!$E$68,Alunos!E102,"-"))))</f>
        <v>-</v>
      </c>
      <c r="C46" s="16"/>
      <c r="D46" s="23">
        <f>SUM('1º Bim 1'!D43,'2º Bim 1'!D43,'3º Bim 1'!D42,'4º Bim 1'!D47)</f>
        <v>0</v>
      </c>
      <c r="E46" s="28">
        <f>'1º Bim 1'!L43</f>
        <v>4.71</v>
      </c>
      <c r="F46" s="28">
        <f>'2º Bim 1'!N43</f>
        <v>23.26</v>
      </c>
      <c r="G46" s="28">
        <f>'3º Bim 1'!L42</f>
        <v>21</v>
      </c>
      <c r="H46" s="28">
        <f>'4º Bim 1'!J47</f>
        <v>0</v>
      </c>
      <c r="I46" s="21"/>
      <c r="J46" s="19">
        <f t="shared" si="8"/>
        <v>48.97</v>
      </c>
      <c r="K46" s="20" t="str">
        <f t="shared" si="9"/>
        <v>REPROVADO</v>
      </c>
      <c r="M46" s="29">
        <f t="shared" si="10"/>
        <v>48.97</v>
      </c>
      <c r="N46" s="29">
        <f t="shared" si="11"/>
        <v>21.03</v>
      </c>
      <c r="O46" s="29">
        <f t="shared" si="12"/>
        <v>0</v>
      </c>
      <c r="P46" s="29">
        <v>30</v>
      </c>
      <c r="Q46" s="29">
        <f t="shared" si="13"/>
        <v>0</v>
      </c>
      <c r="R46" s="29">
        <f t="shared" si="14"/>
        <v>48.97</v>
      </c>
      <c r="S46" s="6">
        <f t="shared" si="15"/>
        <v>48.97</v>
      </c>
    </row>
    <row r="47" spans="1:19" s="6" customFormat="1" ht="12">
      <c r="A47" s="15" t="str">
        <f>IF($C$5=Alunos!$B$5,Alunos!A43,IF($C$5=Alunos!$E$5,Alunos!D43,IF($C$5=Alunos!$B$68,Alunos!A107,IF($C$5=Alunos!$E$68,Alunos!D103,"-"))))</f>
        <v>-</v>
      </c>
      <c r="B47" s="15" t="str">
        <f>IF($C$5=Alunos!$B$5,Alunos!B43,IF($C$5=Alunos!$E$5,Alunos!E43,IF($C$5=Alunos!$B$68,Alunos!B107,IF($C$5=Alunos!$E$68,Alunos!E103,"-"))))</f>
        <v>-</v>
      </c>
      <c r="C47" s="16"/>
      <c r="D47" s="23">
        <f>SUM('1º Bim 1'!D44,'2º Bim 1'!D44,'3º Bim 1'!D43,'4º Bim 1'!D48)</f>
        <v>0</v>
      </c>
      <c r="E47" s="28">
        <f>'1º Bim 1'!L44</f>
        <v>7.6</v>
      </c>
      <c r="F47" s="28">
        <f>'2º Bim 1'!N44</f>
        <v>17.75</v>
      </c>
      <c r="G47" s="28">
        <f>'3º Bim 1'!L43</f>
        <v>19.8</v>
      </c>
      <c r="H47" s="28">
        <f>'4º Bim 1'!J48</f>
        <v>0</v>
      </c>
      <c r="I47" s="21"/>
      <c r="J47" s="19">
        <f t="shared" si="8"/>
        <v>45.150000000000006</v>
      </c>
      <c r="K47" s="20" t="str">
        <f t="shared" si="9"/>
        <v>REPROVADO</v>
      </c>
      <c r="M47" s="29">
        <f t="shared" si="10"/>
        <v>45.150000000000006</v>
      </c>
      <c r="N47" s="29">
        <f t="shared" si="11"/>
        <v>24.849999999999994</v>
      </c>
      <c r="O47" s="29">
        <f t="shared" si="12"/>
        <v>0</v>
      </c>
      <c r="P47" s="29">
        <v>30</v>
      </c>
      <c r="Q47" s="29">
        <f t="shared" si="13"/>
        <v>0</v>
      </c>
      <c r="R47" s="29">
        <f t="shared" si="14"/>
        <v>45.150000000000006</v>
      </c>
      <c r="S47" s="6">
        <f t="shared" si="15"/>
        <v>45.150000000000006</v>
      </c>
    </row>
    <row r="48" spans="1:19" s="6" customFormat="1" ht="12">
      <c r="A48" s="15" t="str">
        <f>IF($C$5=Alunos!$B$5,Alunos!A44,IF($C$5=Alunos!$E$5,Alunos!D44,IF($C$5=Alunos!$B$68,Alunos!A108,IF($C$5=Alunos!$E$68,Alunos!D104,"-"))))</f>
        <v>-</v>
      </c>
      <c r="B48" s="15" t="str">
        <f>IF($C$5=Alunos!$B$5,Alunos!B44,IF($C$5=Alunos!$E$5,Alunos!E44,IF($C$5=Alunos!$B$68,Alunos!B108,IF($C$5=Alunos!$E$68,Alunos!E104,"-"))))</f>
        <v>-</v>
      </c>
      <c r="C48" s="16"/>
      <c r="D48" s="23">
        <f>SUM('1º Bim 1'!D45,'2º Bim 1'!D45,'3º Bim 1'!D44,'4º Bim 1'!D49)</f>
        <v>0</v>
      </c>
      <c r="E48" s="28">
        <f>'1º Bim 1'!L45</f>
        <v>8.33</v>
      </c>
      <c r="F48" s="28">
        <f>'2º Bim 1'!N45</f>
        <v>19.75</v>
      </c>
      <c r="G48" s="28">
        <f>'3º Bim 1'!L44</f>
        <v>21.75</v>
      </c>
      <c r="H48" s="28">
        <f>'4º Bim 1'!J49</f>
        <v>0</v>
      </c>
      <c r="I48" s="21"/>
      <c r="J48" s="19">
        <f t="shared" si="8"/>
        <v>49.83</v>
      </c>
      <c r="K48" s="20" t="str">
        <f t="shared" si="9"/>
        <v>REPROVADO</v>
      </c>
      <c r="M48" s="29">
        <f t="shared" si="10"/>
        <v>49.83</v>
      </c>
      <c r="N48" s="29">
        <f t="shared" si="11"/>
        <v>20.17</v>
      </c>
      <c r="O48" s="29">
        <f t="shared" si="12"/>
        <v>0</v>
      </c>
      <c r="P48" s="29">
        <v>30</v>
      </c>
      <c r="Q48" s="29">
        <f t="shared" si="13"/>
        <v>0</v>
      </c>
      <c r="R48" s="29">
        <f t="shared" si="14"/>
        <v>49.83</v>
      </c>
      <c r="S48" s="6">
        <f t="shared" si="15"/>
        <v>49.83</v>
      </c>
    </row>
    <row r="49" spans="1:19" s="6" customFormat="1" ht="12">
      <c r="A49" s="15" t="str">
        <f>IF($C$5=Alunos!$B$5,Alunos!A45,IF($C$5=Alunos!$E$5,Alunos!D45,IF($C$5=Alunos!$B$68,Alunos!A109,IF($C$5=Alunos!$E$68,Alunos!D105,"-"))))</f>
        <v>-</v>
      </c>
      <c r="B49" s="15" t="str">
        <f>IF($C$5=Alunos!$B$5,Alunos!B45,IF($C$5=Alunos!$E$5,Alunos!E45,IF($C$5=Alunos!$B$68,Alunos!B109,IF($C$5=Alunos!$E$68,Alunos!E105,"-"))))</f>
        <v>-</v>
      </c>
      <c r="C49" s="16"/>
      <c r="D49" s="23" t="e">
        <f>SUM('1º Bim 1'!D46,'2º Bim 1'!#REF!,'3º Bim 1'!D45,'4º Bim 1'!D50)</f>
        <v>#REF!</v>
      </c>
      <c r="E49" s="28">
        <f>'1º Bim 1'!L46</f>
        <v>4.79</v>
      </c>
      <c r="F49" s="28" t="e">
        <f>'2º Bim 1'!#REF!</f>
        <v>#REF!</v>
      </c>
      <c r="G49" s="28">
        <f>'3º Bim 1'!L45</f>
        <v>17.55</v>
      </c>
      <c r="H49" s="28">
        <f>'4º Bim 1'!J50</f>
        <v>0</v>
      </c>
      <c r="I49" s="21"/>
      <c r="J49" s="19" t="e">
        <f t="shared" si="8"/>
        <v>#REF!</v>
      </c>
      <c r="K49" s="20" t="e">
        <f t="shared" si="9"/>
        <v>#REF!</v>
      </c>
      <c r="M49" s="29" t="e">
        <f t="shared" si="10"/>
        <v>#REF!</v>
      </c>
      <c r="N49" s="29" t="e">
        <f t="shared" si="11"/>
        <v>#REF!</v>
      </c>
      <c r="O49" s="29">
        <f t="shared" si="12"/>
        <v>0</v>
      </c>
      <c r="P49" s="29">
        <v>30</v>
      </c>
      <c r="Q49" s="29">
        <f t="shared" si="13"/>
        <v>0</v>
      </c>
      <c r="R49" s="29" t="e">
        <f t="shared" si="14"/>
        <v>#REF!</v>
      </c>
      <c r="S49" s="6" t="e">
        <f t="shared" si="15"/>
        <v>#REF!</v>
      </c>
    </row>
    <row r="50" spans="1:19" s="6" customFormat="1" ht="12">
      <c r="A50" s="15" t="str">
        <f>IF($C$5=Alunos!$B$5,Alunos!A46,IF($C$5=Alunos!$E$5,Alunos!D46,IF($C$5=Alunos!$B$68,Alunos!A110,IF($C$5=Alunos!$E$68,Alunos!D106,"-"))))</f>
        <v>-</v>
      </c>
      <c r="B50" s="15" t="str">
        <f>IF($C$5=Alunos!$B$5,Alunos!B46,IF($C$5=Alunos!$E$5,Alunos!E46,IF($C$5=Alunos!$B$68,Alunos!B110,IF($C$5=Alunos!$E$68,Alunos!E106,"-"))))</f>
        <v>-</v>
      </c>
      <c r="C50" s="16"/>
      <c r="D50" s="23" t="e">
        <f>SUM('1º Bim 1'!#REF!,'2º Bim 1'!#REF!,'3º Bim 1'!D46,'4º Bim 1'!D51)</f>
        <v>#REF!</v>
      </c>
      <c r="E50" s="28" t="e">
        <f>'1º Bim 1'!#REF!</f>
        <v>#REF!</v>
      </c>
      <c r="F50" s="28" t="e">
        <f>'2º Bim 1'!#REF!</f>
        <v>#REF!</v>
      </c>
      <c r="G50" s="28">
        <f>'3º Bim 1'!L46</f>
        <v>0</v>
      </c>
      <c r="H50" s="28">
        <f>'4º Bim 1'!J51</f>
        <v>0</v>
      </c>
      <c r="I50" s="21"/>
      <c r="J50" s="19" t="e">
        <f t="shared" si="8"/>
        <v>#REF!</v>
      </c>
      <c r="K50" s="20" t="e">
        <f t="shared" si="9"/>
        <v>#REF!</v>
      </c>
      <c r="M50" s="29" t="e">
        <f t="shared" si="10"/>
        <v>#REF!</v>
      </c>
      <c r="N50" s="29" t="e">
        <f t="shared" si="11"/>
        <v>#REF!</v>
      </c>
      <c r="O50" s="29">
        <f t="shared" si="12"/>
        <v>0</v>
      </c>
      <c r="P50" s="29">
        <v>30</v>
      </c>
      <c r="Q50" s="29">
        <f t="shared" si="13"/>
        <v>0</v>
      </c>
      <c r="R50" s="29" t="e">
        <f t="shared" si="14"/>
        <v>#REF!</v>
      </c>
      <c r="S50" s="6" t="e">
        <f t="shared" si="15"/>
        <v>#REF!</v>
      </c>
    </row>
    <row r="51" spans="1:19" s="6" customFormat="1" ht="12">
      <c r="A51" s="15" t="str">
        <f>IF($C$5=Alunos!$B$5,Alunos!A47,IF($C$5=Alunos!$E$5,Alunos!D47,IF($C$5=Alunos!$B$68,Alunos!A111,IF($C$5=Alunos!$E$68,Alunos!D107,"-"))))</f>
        <v>-</v>
      </c>
      <c r="B51" s="15" t="str">
        <f>IF($C$5=Alunos!$B$5,Alunos!B47,IF($C$5=Alunos!$E$5,Alunos!E47,IF($C$5=Alunos!$B$68,Alunos!B111,IF($C$5=Alunos!$E$68,Alunos!E107,"-"))))</f>
        <v>-</v>
      </c>
      <c r="C51" s="16"/>
      <c r="D51" s="23" t="e">
        <f>SUM('1º Bim 1'!#REF!,'2º Bim 1'!#REF!,'3º Bim 1'!#REF!,'4º Bim 1'!D52)</f>
        <v>#REF!</v>
      </c>
      <c r="E51" s="28" t="e">
        <f>'1º Bim 1'!#REF!</f>
        <v>#REF!</v>
      </c>
      <c r="F51" s="28" t="e">
        <f>'2º Bim 1'!#REF!</f>
        <v>#REF!</v>
      </c>
      <c r="G51" s="28" t="e">
        <f>'3º Bim 1'!#REF!</f>
        <v>#REF!</v>
      </c>
      <c r="H51" s="28">
        <f>'4º Bim 1'!J52</f>
        <v>0</v>
      </c>
      <c r="I51" s="21"/>
      <c r="J51" s="19" t="e">
        <f t="shared" si="8"/>
        <v>#REF!</v>
      </c>
      <c r="K51" s="20" t="e">
        <f t="shared" si="9"/>
        <v>#REF!</v>
      </c>
      <c r="M51" s="29" t="e">
        <f t="shared" si="10"/>
        <v>#REF!</v>
      </c>
      <c r="N51" s="29" t="e">
        <f t="shared" si="11"/>
        <v>#REF!</v>
      </c>
      <c r="O51" s="29">
        <f t="shared" si="12"/>
        <v>0</v>
      </c>
      <c r="P51" s="29">
        <v>30</v>
      </c>
      <c r="Q51" s="29">
        <f t="shared" si="13"/>
        <v>0</v>
      </c>
      <c r="R51" s="29" t="e">
        <f t="shared" si="14"/>
        <v>#REF!</v>
      </c>
      <c r="S51" s="6" t="e">
        <f t="shared" si="15"/>
        <v>#REF!</v>
      </c>
    </row>
    <row r="52" spans="1:19" s="6" customFormat="1" ht="12">
      <c r="A52" s="15" t="str">
        <f>IF($C$5=Alunos!$B$5,Alunos!A48,IF($C$5=Alunos!$E$5,Alunos!D48,IF($C$5=Alunos!$B$68,Alunos!A112,IF($C$5=Alunos!$E$68,Alunos!D108,"-"))))</f>
        <v>-</v>
      </c>
      <c r="B52" s="15" t="str">
        <f>IF($C$5=Alunos!$B$5,Alunos!B48,IF($C$5=Alunos!$E$5,Alunos!E48,IF($C$5=Alunos!$B$68,Alunos!B112,IF($C$5=Alunos!$E$68,Alunos!E108,"-"))))</f>
        <v>-</v>
      </c>
      <c r="C52" s="16"/>
      <c r="D52" s="23" t="e">
        <f>SUM('1º Bim 1'!#REF!,'2º Bim 1'!#REF!,'3º Bim 1'!#REF!,'4º Bim 1'!D53)</f>
        <v>#REF!</v>
      </c>
      <c r="E52" s="28" t="e">
        <f>'1º Bim 1'!#REF!</f>
        <v>#REF!</v>
      </c>
      <c r="F52" s="28" t="e">
        <f>'2º Bim 1'!#REF!</f>
        <v>#REF!</v>
      </c>
      <c r="G52" s="28" t="e">
        <f>'3º Bim 1'!#REF!</f>
        <v>#REF!</v>
      </c>
      <c r="H52" s="28">
        <f>'4º Bim 1'!J53</f>
        <v>0</v>
      </c>
      <c r="I52" s="21"/>
      <c r="J52" s="19" t="e">
        <f t="shared" si="8"/>
        <v>#REF!</v>
      </c>
      <c r="K52" s="20" t="e">
        <f t="shared" si="9"/>
        <v>#REF!</v>
      </c>
      <c r="M52" s="29" t="e">
        <f t="shared" si="10"/>
        <v>#REF!</v>
      </c>
      <c r="N52" s="29" t="e">
        <f t="shared" si="11"/>
        <v>#REF!</v>
      </c>
      <c r="O52" s="29">
        <f t="shared" si="12"/>
        <v>0</v>
      </c>
      <c r="P52" s="29">
        <v>30</v>
      </c>
      <c r="Q52" s="29">
        <f t="shared" si="13"/>
        <v>0</v>
      </c>
      <c r="R52" s="29" t="e">
        <f t="shared" si="14"/>
        <v>#REF!</v>
      </c>
      <c r="S52" s="6" t="e">
        <f t="shared" si="15"/>
        <v>#REF!</v>
      </c>
    </row>
    <row r="53" spans="1:19" s="6" customFormat="1" ht="12">
      <c r="A53" s="15" t="str">
        <f>IF($C$5=Alunos!$B$5,Alunos!A49,IF($C$5=Alunos!$E$5,Alunos!D49,IF($C$5=Alunos!$B$68,Alunos!A113,IF($C$5=Alunos!$E$68,Alunos!D109,"-"))))</f>
        <v>-</v>
      </c>
      <c r="B53" s="15" t="str">
        <f>IF($C$5=Alunos!$B$5,Alunos!B49,IF($C$5=Alunos!$E$5,Alunos!E49,IF($C$5=Alunos!$B$68,Alunos!B113,IF($C$5=Alunos!$E$68,Alunos!E109,"-"))))</f>
        <v>-</v>
      </c>
      <c r="C53" s="16"/>
      <c r="D53" s="23" t="e">
        <f>SUM('1º Bim 1'!#REF!,'2º Bim 1'!#REF!,'3º Bim 1'!#REF!,'4º Bim 1'!D54)</f>
        <v>#REF!</v>
      </c>
      <c r="E53" s="28" t="e">
        <f>'1º Bim 1'!#REF!</f>
        <v>#REF!</v>
      </c>
      <c r="F53" s="28" t="e">
        <f>'2º Bim 1'!#REF!</f>
        <v>#REF!</v>
      </c>
      <c r="G53" s="28" t="e">
        <f>'3º Bim 1'!#REF!</f>
        <v>#REF!</v>
      </c>
      <c r="H53" s="28">
        <f>'4º Bim 1'!J54</f>
        <v>0</v>
      </c>
      <c r="I53" s="21"/>
      <c r="J53" s="19" t="e">
        <f t="shared" si="8"/>
        <v>#REF!</v>
      </c>
      <c r="K53" s="20" t="e">
        <f t="shared" si="9"/>
        <v>#REF!</v>
      </c>
      <c r="M53" s="29" t="e">
        <f t="shared" si="10"/>
        <v>#REF!</v>
      </c>
      <c r="N53" s="29" t="e">
        <f t="shared" si="11"/>
        <v>#REF!</v>
      </c>
      <c r="O53" s="29">
        <f t="shared" si="12"/>
        <v>0</v>
      </c>
      <c r="P53" s="29">
        <v>30</v>
      </c>
      <c r="Q53" s="29">
        <f t="shared" si="13"/>
        <v>0</v>
      </c>
      <c r="R53" s="29" t="e">
        <f t="shared" si="14"/>
        <v>#REF!</v>
      </c>
      <c r="S53" s="6" t="e">
        <f t="shared" si="15"/>
        <v>#REF!</v>
      </c>
    </row>
    <row r="54" spans="1:19" s="6" customFormat="1" ht="12">
      <c r="A54" s="15" t="str">
        <f>IF($C$5=Alunos!$B$5,Alunos!A50,IF($C$5=Alunos!$E$5,Alunos!D50,IF($C$5=Alunos!$B$68,Alunos!A114,IF($C$5=Alunos!$E$68,Alunos!D110,"-"))))</f>
        <v>-</v>
      </c>
      <c r="B54" s="15" t="str">
        <f>IF($C$5=Alunos!$B$5,Alunos!B50,IF($C$5=Alunos!$E$5,Alunos!E50,IF($C$5=Alunos!$B$68,Alunos!B114,IF($C$5=Alunos!$E$68,Alunos!E110,"-"))))</f>
        <v>-</v>
      </c>
      <c r="C54" s="16"/>
      <c r="D54" s="23" t="e">
        <f>SUM('1º Bim 1'!#REF!,'2º Bim 1'!#REF!,'3º Bim 1'!#REF!,'4º Bim 1'!D55)</f>
        <v>#REF!</v>
      </c>
      <c r="E54" s="28" t="e">
        <f>'1º Bim 1'!#REF!</f>
        <v>#REF!</v>
      </c>
      <c r="F54" s="28" t="e">
        <f>'2º Bim 1'!#REF!</f>
        <v>#REF!</v>
      </c>
      <c r="G54" s="28" t="e">
        <f>'3º Bim 1'!#REF!</f>
        <v>#REF!</v>
      </c>
      <c r="H54" s="28">
        <f>'4º Bim 1'!J55</f>
        <v>0</v>
      </c>
      <c r="I54" s="21"/>
      <c r="J54" s="19" t="e">
        <f t="shared" si="8"/>
        <v>#REF!</v>
      </c>
      <c r="K54" s="20" t="e">
        <f t="shared" si="9"/>
        <v>#REF!</v>
      </c>
      <c r="M54" s="29" t="e">
        <f t="shared" si="10"/>
        <v>#REF!</v>
      </c>
      <c r="N54" s="29" t="e">
        <f t="shared" si="11"/>
        <v>#REF!</v>
      </c>
      <c r="O54" s="29">
        <f t="shared" si="12"/>
        <v>0</v>
      </c>
      <c r="P54" s="29">
        <v>30</v>
      </c>
      <c r="Q54" s="29">
        <f t="shared" si="13"/>
        <v>0</v>
      </c>
      <c r="R54" s="29" t="e">
        <f t="shared" si="14"/>
        <v>#REF!</v>
      </c>
      <c r="S54" s="6" t="e">
        <f t="shared" si="15"/>
        <v>#REF!</v>
      </c>
    </row>
    <row r="55" spans="1:19" s="6" customFormat="1" ht="12">
      <c r="A55" s="15" t="str">
        <f>IF($C$5=Alunos!$B$5,Alunos!A51,IF($C$5=Alunos!$E$5,Alunos!D51,IF($C$5=Alunos!$B$68,Alunos!A115,IF($C$5=Alunos!$E$68,Alunos!D111,"-"))))</f>
        <v>-</v>
      </c>
      <c r="B55" s="15" t="str">
        <f>IF($C$5=Alunos!$B$5,Alunos!B51,IF($C$5=Alunos!$E$5,Alunos!E51,IF($C$5=Alunos!$B$68,Alunos!B115,IF($C$5=Alunos!$E$68,Alunos!E111,"-"))))</f>
        <v>-</v>
      </c>
      <c r="C55" s="16"/>
      <c r="D55" s="23" t="e">
        <f>SUM('1º Bim 1'!#REF!,'2º Bim 1'!#REF!,'3º Bim 1'!#REF!,'4º Bim 1'!D56)</f>
        <v>#REF!</v>
      </c>
      <c r="E55" s="28" t="e">
        <f>'1º Bim 1'!#REF!</f>
        <v>#REF!</v>
      </c>
      <c r="F55" s="28" t="e">
        <f>'2º Bim 1'!#REF!</f>
        <v>#REF!</v>
      </c>
      <c r="G55" s="28" t="e">
        <f>'3º Bim 1'!#REF!</f>
        <v>#REF!</v>
      </c>
      <c r="H55" s="28">
        <f>'4º Bim 1'!J56</f>
        <v>0</v>
      </c>
      <c r="I55" s="21"/>
      <c r="J55" s="19" t="e">
        <f t="shared" si="8"/>
        <v>#REF!</v>
      </c>
      <c r="K55" s="20" t="e">
        <f t="shared" si="9"/>
        <v>#REF!</v>
      </c>
      <c r="M55" s="29" t="e">
        <f t="shared" si="10"/>
        <v>#REF!</v>
      </c>
      <c r="N55" s="29" t="e">
        <f t="shared" si="11"/>
        <v>#REF!</v>
      </c>
      <c r="O55" s="29">
        <f t="shared" si="12"/>
        <v>0</v>
      </c>
      <c r="P55" s="29">
        <v>30</v>
      </c>
      <c r="Q55" s="29">
        <f t="shared" si="13"/>
        <v>0</v>
      </c>
      <c r="R55" s="29" t="e">
        <f t="shared" si="14"/>
        <v>#REF!</v>
      </c>
      <c r="S55" s="6" t="e">
        <f t="shared" si="15"/>
        <v>#REF!</v>
      </c>
    </row>
    <row r="56" spans="1:19" s="6" customFormat="1" ht="12">
      <c r="A56" s="15" t="str">
        <f>IF($C$5=Alunos!$B$5,Alunos!A52,IF($C$5=Alunos!$E$5,Alunos!D52,IF($C$5=Alunos!$B$68,Alunos!A116,IF($C$5=Alunos!$E$68,Alunos!D112,"-"))))</f>
        <v>-</v>
      </c>
      <c r="B56" s="15" t="str">
        <f>IF($C$5=Alunos!$B$5,Alunos!B52,IF($C$5=Alunos!$E$5,Alunos!E52,IF($C$5=Alunos!$B$68,Alunos!B116,IF($C$5=Alunos!$E$68,Alunos!E112,"-"))))</f>
        <v>-</v>
      </c>
      <c r="C56" s="16"/>
      <c r="D56" s="23" t="e">
        <f>SUM('1º Bim 1'!#REF!,'2º Bim 1'!D46,'3º Bim 1'!#REF!,'4º Bim 1'!D57)</f>
        <v>#REF!</v>
      </c>
      <c r="E56" s="28" t="e">
        <f>'1º Bim 1'!#REF!</f>
        <v>#REF!</v>
      </c>
      <c r="F56" s="28">
        <f>'2º Bim 1'!N46</f>
        <v>14.9</v>
      </c>
      <c r="G56" s="28" t="e">
        <f>'3º Bim 1'!#REF!</f>
        <v>#REF!</v>
      </c>
      <c r="H56" s="28">
        <f>'4º Bim 1'!J57</f>
        <v>0</v>
      </c>
      <c r="I56" s="21"/>
      <c r="J56" s="19" t="e">
        <f t="shared" si="8"/>
        <v>#REF!</v>
      </c>
      <c r="K56" s="20" t="e">
        <f t="shared" si="9"/>
        <v>#REF!</v>
      </c>
      <c r="M56" s="29" t="e">
        <f t="shared" si="10"/>
        <v>#REF!</v>
      </c>
      <c r="N56" s="29" t="e">
        <f t="shared" si="11"/>
        <v>#REF!</v>
      </c>
      <c r="O56" s="29">
        <f t="shared" si="12"/>
        <v>0</v>
      </c>
      <c r="P56" s="29">
        <v>30</v>
      </c>
      <c r="Q56" s="29">
        <f t="shared" si="13"/>
        <v>0</v>
      </c>
      <c r="R56" s="29" t="e">
        <f t="shared" si="14"/>
        <v>#REF!</v>
      </c>
      <c r="S56" s="6" t="e">
        <f t="shared" si="15"/>
        <v>#REF!</v>
      </c>
    </row>
    <row r="57" spans="1:19" s="6" customFormat="1" ht="12">
      <c r="A57" s="15" t="str">
        <f>IF($C$5=Alunos!$B$5,Alunos!A53,IF($C$5=Alunos!$E$5,Alunos!D53,IF($C$5=Alunos!$B$68,Alunos!A117,IF($C$5=Alunos!$E$68,Alunos!D113,"-"))))</f>
        <v>-</v>
      </c>
      <c r="B57" s="15" t="str">
        <f>IF($C$5=Alunos!$B$5,Alunos!B53,IF($C$5=Alunos!$E$5,Alunos!E53,IF($C$5=Alunos!$B$68,Alunos!B117,IF($C$5=Alunos!$E$68,Alunos!E113,"-"))))</f>
        <v>-</v>
      </c>
      <c r="C57" s="16"/>
      <c r="D57" s="23" t="e">
        <f>SUM('1º Bim 1'!#REF!,'2º Bim 1'!#REF!,'3º Bim 1'!#REF!,'4º Bim 1'!D58)</f>
        <v>#REF!</v>
      </c>
      <c r="E57" s="28" t="e">
        <f>'1º Bim 1'!#REF!</f>
        <v>#REF!</v>
      </c>
      <c r="F57" s="28" t="e">
        <f>'2º Bim 1'!#REF!</f>
        <v>#REF!</v>
      </c>
      <c r="G57" s="28" t="e">
        <f>'3º Bim 1'!#REF!</f>
        <v>#REF!</v>
      </c>
      <c r="H57" s="28">
        <f>'4º Bim 1'!J58</f>
        <v>0</v>
      </c>
      <c r="I57" s="21"/>
      <c r="J57" s="19" t="e">
        <f t="shared" si="8"/>
        <v>#REF!</v>
      </c>
      <c r="K57" s="20" t="e">
        <f t="shared" si="9"/>
        <v>#REF!</v>
      </c>
      <c r="M57" s="29" t="e">
        <f t="shared" si="10"/>
        <v>#REF!</v>
      </c>
      <c r="N57" s="29" t="e">
        <f t="shared" si="11"/>
        <v>#REF!</v>
      </c>
      <c r="O57" s="29">
        <f t="shared" si="12"/>
        <v>0</v>
      </c>
      <c r="P57" s="29">
        <v>30</v>
      </c>
      <c r="Q57" s="29">
        <f t="shared" si="13"/>
        <v>0</v>
      </c>
      <c r="R57" s="29" t="e">
        <f t="shared" si="14"/>
        <v>#REF!</v>
      </c>
      <c r="S57" s="6" t="e">
        <f t="shared" si="15"/>
        <v>#REF!</v>
      </c>
    </row>
    <row r="58" spans="1:19" s="6" customFormat="1" ht="12">
      <c r="A58" s="15" t="str">
        <f>IF($C$5=Alunos!$B$5,Alunos!A54,IF($C$5=Alunos!$E$5,Alunos!D54,IF($C$5=Alunos!$B$68,Alunos!A118,IF($C$5=Alunos!$E$68,Alunos!D114,"-"))))</f>
        <v>-</v>
      </c>
      <c r="B58" s="15" t="str">
        <f>IF($C$5=Alunos!$B$5,Alunos!B54,IF($C$5=Alunos!$E$5,Alunos!E54,IF($C$5=Alunos!$B$68,Alunos!B118,IF($C$5=Alunos!$E$68,Alunos!E114,"-"))))</f>
        <v>-</v>
      </c>
      <c r="C58" s="16"/>
      <c r="D58" s="23" t="e">
        <f>SUM('1º Bim 1'!#REF!,'2º Bim 1'!#REF!,'3º Bim 1'!#REF!,'4º Bim 1'!D59)</f>
        <v>#REF!</v>
      </c>
      <c r="E58" s="28" t="e">
        <f>'1º Bim 1'!#REF!</f>
        <v>#REF!</v>
      </c>
      <c r="F58" s="28" t="e">
        <f>'2º Bim 1'!#REF!</f>
        <v>#REF!</v>
      </c>
      <c r="G58" s="28" t="e">
        <f>'3º Bim 1'!#REF!</f>
        <v>#REF!</v>
      </c>
      <c r="H58" s="28">
        <f>'4º Bim 1'!J59</f>
        <v>0</v>
      </c>
      <c r="I58" s="21"/>
      <c r="J58" s="19" t="e">
        <f t="shared" si="8"/>
        <v>#REF!</v>
      </c>
      <c r="K58" s="20" t="e">
        <f t="shared" si="9"/>
        <v>#REF!</v>
      </c>
      <c r="M58" s="29" t="e">
        <f t="shared" si="10"/>
        <v>#REF!</v>
      </c>
      <c r="N58" s="29" t="e">
        <f t="shared" si="11"/>
        <v>#REF!</v>
      </c>
      <c r="O58" s="29">
        <f t="shared" si="12"/>
        <v>0</v>
      </c>
      <c r="P58" s="29">
        <v>30</v>
      </c>
      <c r="Q58" s="29">
        <f t="shared" si="13"/>
        <v>0</v>
      </c>
      <c r="R58" s="29" t="e">
        <f t="shared" si="14"/>
        <v>#REF!</v>
      </c>
      <c r="S58" s="6" t="e">
        <f t="shared" si="15"/>
        <v>#REF!</v>
      </c>
    </row>
    <row r="59" spans="1:19" s="6" customFormat="1" ht="12">
      <c r="A59" s="15" t="str">
        <f>IF($C$5=Alunos!$B$5,Alunos!A55,IF($C$5=Alunos!$E$5,Alunos!D55,IF($C$5=Alunos!$B$68,Alunos!A119,IF($C$5=Alunos!$E$68,Alunos!D115,"-"))))</f>
        <v>-</v>
      </c>
      <c r="B59" s="15" t="str">
        <f>IF($C$5=Alunos!$B$5,Alunos!B55,IF($C$5=Alunos!$E$5,Alunos!E55,IF($C$5=Alunos!$B$68,Alunos!B119,IF($C$5=Alunos!$E$68,Alunos!E115,"-"))))</f>
        <v>-</v>
      </c>
      <c r="C59" s="16"/>
      <c r="D59" s="23" t="e">
        <f>SUM('1º Bim 1'!#REF!,'2º Bim 1'!#REF!,'3º Bim 1'!#REF!,'4º Bim 1'!D60)</f>
        <v>#REF!</v>
      </c>
      <c r="E59" s="28" t="e">
        <f>'1º Bim 1'!#REF!</f>
        <v>#REF!</v>
      </c>
      <c r="F59" s="28" t="e">
        <f>'2º Bim 1'!#REF!</f>
        <v>#REF!</v>
      </c>
      <c r="G59" s="28" t="e">
        <f>'3º Bim 1'!#REF!</f>
        <v>#REF!</v>
      </c>
      <c r="H59" s="28">
        <f>'4º Bim 1'!J60</f>
        <v>0</v>
      </c>
      <c r="I59" s="21"/>
      <c r="J59" s="19" t="e">
        <f t="shared" si="8"/>
        <v>#REF!</v>
      </c>
      <c r="K59" s="20" t="e">
        <f t="shared" si="9"/>
        <v>#REF!</v>
      </c>
      <c r="M59" s="29" t="e">
        <f t="shared" si="10"/>
        <v>#REF!</v>
      </c>
      <c r="N59" s="29" t="e">
        <f t="shared" si="11"/>
        <v>#REF!</v>
      </c>
      <c r="O59" s="29">
        <f t="shared" si="12"/>
        <v>0</v>
      </c>
      <c r="P59" s="29">
        <v>30</v>
      </c>
      <c r="Q59" s="29">
        <f t="shared" si="13"/>
        <v>0</v>
      </c>
      <c r="R59" s="29" t="e">
        <f t="shared" si="14"/>
        <v>#REF!</v>
      </c>
      <c r="S59" s="6" t="e">
        <f t="shared" si="15"/>
        <v>#REF!</v>
      </c>
    </row>
    <row r="60" spans="1:19" s="6" customFormat="1" ht="12">
      <c r="A60" s="15" t="str">
        <f>IF($C$5=Alunos!$B$5,Alunos!A56,IF($C$5=Alunos!$E$5,Alunos!D56,IF($C$5=Alunos!$B$68,Alunos!A120,IF($C$5=Alunos!$E$68,Alunos!D116,"-"))))</f>
        <v>-</v>
      </c>
      <c r="B60" s="15" t="str">
        <f>IF($C$5=Alunos!$B$5,Alunos!B56,IF($C$5=Alunos!$E$5,Alunos!E56,IF($C$5=Alunos!$B$68,Alunos!B120,IF($C$5=Alunos!$E$68,Alunos!E116,"-"))))</f>
        <v>-</v>
      </c>
      <c r="C60" s="16"/>
      <c r="D60" s="23" t="e">
        <f>SUM('1º Bim 1'!#REF!,'2º Bim 1'!#REF!,'3º Bim 1'!#REF!,'4º Bim 1'!D61)</f>
        <v>#REF!</v>
      </c>
      <c r="E60" s="28" t="e">
        <f>'1º Bim 1'!#REF!</f>
        <v>#REF!</v>
      </c>
      <c r="F60" s="28" t="e">
        <f>'2º Bim 1'!#REF!</f>
        <v>#REF!</v>
      </c>
      <c r="G60" s="28" t="e">
        <f>'3º Bim 1'!#REF!</f>
        <v>#REF!</v>
      </c>
      <c r="H60" s="28">
        <f>'4º Bim 1'!J61</f>
        <v>0</v>
      </c>
      <c r="I60" s="21"/>
      <c r="J60" s="19" t="e">
        <f t="shared" si="8"/>
        <v>#REF!</v>
      </c>
      <c r="K60" s="20" t="e">
        <f t="shared" si="9"/>
        <v>#REF!</v>
      </c>
      <c r="M60" s="29" t="e">
        <f t="shared" si="10"/>
        <v>#REF!</v>
      </c>
      <c r="N60" s="29" t="e">
        <f t="shared" si="11"/>
        <v>#REF!</v>
      </c>
      <c r="O60" s="29">
        <f t="shared" si="12"/>
        <v>0</v>
      </c>
      <c r="P60" s="29">
        <v>30</v>
      </c>
      <c r="Q60" s="29">
        <f t="shared" si="13"/>
        <v>0</v>
      </c>
      <c r="R60" s="29" t="e">
        <f t="shared" si="14"/>
        <v>#REF!</v>
      </c>
      <c r="S60" s="6" t="e">
        <f t="shared" si="15"/>
        <v>#REF!</v>
      </c>
    </row>
    <row r="61" spans="1:19" s="6" customFormat="1" ht="12">
      <c r="A61" s="15" t="str">
        <f>IF($C$5=Alunos!$B$5,Alunos!A57,IF($C$5=Alunos!$E$5,Alunos!D57,IF($C$5=Alunos!$B$68,Alunos!A121,IF($C$5=Alunos!$E$68,Alunos!D117,"-"))))</f>
        <v>-</v>
      </c>
      <c r="B61" s="15" t="str">
        <f>IF($C$5=Alunos!$B$5,Alunos!B57,IF($C$5=Alunos!$E$5,Alunos!E57,IF($C$5=Alunos!$B$68,Alunos!B121,IF($C$5=Alunos!$E$68,Alunos!E117,"-"))))</f>
        <v>-</v>
      </c>
      <c r="C61" s="16"/>
      <c r="D61" s="23" t="e">
        <f>SUM('1º Bim 1'!#REF!,'2º Bim 1'!#REF!,'3º Bim 1'!#REF!,'4º Bim 1'!D62)</f>
        <v>#REF!</v>
      </c>
      <c r="E61" s="28" t="e">
        <f>'1º Bim 1'!#REF!</f>
        <v>#REF!</v>
      </c>
      <c r="F61" s="28" t="e">
        <f>'2º Bim 1'!#REF!</f>
        <v>#REF!</v>
      </c>
      <c r="G61" s="28" t="e">
        <f>'3º Bim 1'!#REF!</f>
        <v>#REF!</v>
      </c>
      <c r="H61" s="28">
        <f>'4º Bim 1'!J62</f>
        <v>0</v>
      </c>
      <c r="I61" s="21"/>
      <c r="J61" s="19" t="e">
        <f t="shared" si="8"/>
        <v>#REF!</v>
      </c>
      <c r="K61" s="20" t="e">
        <f t="shared" si="9"/>
        <v>#REF!</v>
      </c>
      <c r="M61" s="29" t="e">
        <f t="shared" si="10"/>
        <v>#REF!</v>
      </c>
      <c r="N61" s="29" t="e">
        <f t="shared" si="11"/>
        <v>#REF!</v>
      </c>
      <c r="O61" s="29">
        <f t="shared" si="12"/>
        <v>0</v>
      </c>
      <c r="P61" s="29">
        <v>30</v>
      </c>
      <c r="Q61" s="29">
        <f t="shared" si="13"/>
        <v>0</v>
      </c>
      <c r="R61" s="29" t="e">
        <f t="shared" si="14"/>
        <v>#REF!</v>
      </c>
      <c r="S61" s="6" t="e">
        <f t="shared" si="15"/>
        <v>#REF!</v>
      </c>
    </row>
    <row r="62" spans="1:19" s="6" customFormat="1" ht="12">
      <c r="A62" s="15" t="str">
        <f>IF($C$5=Alunos!$B$5,Alunos!A58,IF($C$5=Alunos!$E$5,Alunos!D58,IF($C$5=Alunos!$B$68,Alunos!A122,IF($C$5=Alunos!$E$68,Alunos!D118,"-"))))</f>
        <v>-</v>
      </c>
      <c r="B62" s="15" t="str">
        <f>IF($C$5=Alunos!$B$5,Alunos!B58,IF($C$5=Alunos!$E$5,Alunos!E58,IF($C$5=Alunos!$B$68,Alunos!B122,IF($C$5=Alunos!$E$68,Alunos!E118,"-"))))</f>
        <v>-</v>
      </c>
      <c r="C62" s="16"/>
      <c r="D62" s="23" t="e">
        <f>SUM('1º Bim 1'!#REF!,'2º Bim 1'!#REF!,'3º Bim 1'!#REF!,'4º Bim 1'!D63)</f>
        <v>#REF!</v>
      </c>
      <c r="E62" s="28" t="e">
        <f>'1º Bim 1'!#REF!</f>
        <v>#REF!</v>
      </c>
      <c r="F62" s="28" t="e">
        <f>'2º Bim 1'!#REF!</f>
        <v>#REF!</v>
      </c>
      <c r="G62" s="28" t="e">
        <f>'3º Bim 1'!#REF!</f>
        <v>#REF!</v>
      </c>
      <c r="H62" s="28">
        <f>'4º Bim 1'!J63</f>
        <v>0</v>
      </c>
      <c r="I62" s="21"/>
      <c r="J62" s="19" t="e">
        <f t="shared" si="8"/>
        <v>#REF!</v>
      </c>
      <c r="K62" s="20" t="e">
        <f t="shared" si="9"/>
        <v>#REF!</v>
      </c>
      <c r="M62" s="29" t="e">
        <f t="shared" si="10"/>
        <v>#REF!</v>
      </c>
      <c r="N62" s="29" t="e">
        <f t="shared" si="11"/>
        <v>#REF!</v>
      </c>
      <c r="O62" s="29">
        <f t="shared" si="12"/>
        <v>0</v>
      </c>
      <c r="P62" s="29">
        <v>30</v>
      </c>
      <c r="Q62" s="29">
        <f t="shared" si="13"/>
        <v>0</v>
      </c>
      <c r="R62" s="29" t="e">
        <f t="shared" si="14"/>
        <v>#REF!</v>
      </c>
      <c r="S62" s="6" t="e">
        <f t="shared" si="15"/>
        <v>#REF!</v>
      </c>
    </row>
    <row r="63" spans="1:19" s="6" customFormat="1" ht="12">
      <c r="A63" s="15" t="str">
        <f>IF($C$5=Alunos!$B$5,Alunos!A59,IF($C$5=Alunos!$E$5,Alunos!D59,IF($C$5=Alunos!$B$68,Alunos!A123,IF($C$5=Alunos!$E$68,Alunos!D119,"-"))))</f>
        <v>-</v>
      </c>
      <c r="B63" s="15" t="str">
        <f>IF($C$5=Alunos!$B$5,Alunos!B59,IF($C$5=Alunos!$E$5,Alunos!E59,IF($C$5=Alunos!$B$68,Alunos!B123,IF($C$5=Alunos!$E$68,Alunos!E119,"-"))))</f>
        <v>-</v>
      </c>
      <c r="C63" s="16"/>
      <c r="D63" s="23" t="e">
        <f>SUM('1º Bim 1'!#REF!,'2º Bim 1'!#REF!,'3º Bim 1'!#REF!,'4º Bim 1'!D64)</f>
        <v>#REF!</v>
      </c>
      <c r="E63" s="28" t="e">
        <f>'1º Bim 1'!#REF!</f>
        <v>#REF!</v>
      </c>
      <c r="F63" s="28" t="e">
        <f>'2º Bim 1'!#REF!</f>
        <v>#REF!</v>
      </c>
      <c r="G63" s="28" t="e">
        <f>'3º Bim 1'!#REF!</f>
        <v>#REF!</v>
      </c>
      <c r="H63" s="28">
        <f>'4º Bim 1'!J64</f>
        <v>0</v>
      </c>
      <c r="I63" s="21"/>
      <c r="J63" s="19" t="e">
        <f t="shared" si="8"/>
        <v>#REF!</v>
      </c>
      <c r="K63" s="20" t="e">
        <f t="shared" si="9"/>
        <v>#REF!</v>
      </c>
      <c r="M63" s="29" t="e">
        <f t="shared" si="10"/>
        <v>#REF!</v>
      </c>
      <c r="N63" s="29" t="e">
        <f t="shared" si="11"/>
        <v>#REF!</v>
      </c>
      <c r="O63" s="29">
        <f t="shared" si="12"/>
        <v>0</v>
      </c>
      <c r="P63" s="29">
        <v>30</v>
      </c>
      <c r="Q63" s="29">
        <f t="shared" si="13"/>
        <v>0</v>
      </c>
      <c r="R63" s="29" t="e">
        <f t="shared" si="14"/>
        <v>#REF!</v>
      </c>
      <c r="S63" s="6" t="e">
        <f t="shared" si="15"/>
        <v>#REF!</v>
      </c>
    </row>
    <row r="64" spans="1:19" s="6" customFormat="1" ht="12">
      <c r="A64" s="15" t="str">
        <f>IF($C$5=Alunos!$B$5,Alunos!A60,IF($C$5=Alunos!$E$5,Alunos!D60,IF($C$5=Alunos!$B$68,Alunos!A124,IF($C$5=Alunos!$E$68,Alunos!D120,"-"))))</f>
        <v>-</v>
      </c>
      <c r="B64" s="15" t="str">
        <f>IF($C$5=Alunos!$B$5,Alunos!B60,IF($C$5=Alunos!$E$5,Alunos!E60,IF($C$5=Alunos!$B$68,Alunos!B124,IF($C$5=Alunos!$E$68,Alunos!E120,"-"))))</f>
        <v>-</v>
      </c>
      <c r="C64" s="16"/>
      <c r="D64" s="23" t="e">
        <f>SUM('1º Bim 1'!D47,'2º Bim 1'!#REF!,'3º Bim 1'!#REF!,'4º Bim 1'!D65)</f>
        <v>#REF!</v>
      </c>
      <c r="E64" s="28">
        <f>'1º Bim 1'!L47</f>
        <v>5.05</v>
      </c>
      <c r="F64" s="28" t="e">
        <f>'2º Bim 1'!#REF!</f>
        <v>#REF!</v>
      </c>
      <c r="G64" s="28" t="e">
        <f>'3º Bim 1'!#REF!</f>
        <v>#REF!</v>
      </c>
      <c r="H64" s="28">
        <f>'4º Bim 1'!J65</f>
        <v>0</v>
      </c>
      <c r="I64" s="21"/>
      <c r="J64" s="19" t="e">
        <f t="shared" si="8"/>
        <v>#REF!</v>
      </c>
      <c r="K64" s="20" t="e">
        <f t="shared" si="9"/>
        <v>#REF!</v>
      </c>
      <c r="M64" s="29" t="e">
        <f t="shared" si="10"/>
        <v>#REF!</v>
      </c>
      <c r="N64" s="29" t="e">
        <f t="shared" si="11"/>
        <v>#REF!</v>
      </c>
      <c r="O64" s="29">
        <f t="shared" si="12"/>
        <v>0</v>
      </c>
      <c r="P64" s="29">
        <v>30</v>
      </c>
      <c r="Q64" s="29">
        <f t="shared" si="13"/>
        <v>0</v>
      </c>
      <c r="R64" s="29" t="e">
        <f t="shared" si="14"/>
        <v>#REF!</v>
      </c>
      <c r="S64" s="6" t="e">
        <f t="shared" si="15"/>
        <v>#REF!</v>
      </c>
    </row>
    <row r="65" spans="1:19" s="6" customFormat="1" ht="12">
      <c r="A65" s="15" t="str">
        <f>IF($C$5=Alunos!$B$5,Alunos!A61,IF($C$5=Alunos!$E$5,Alunos!D61,IF($C$5=Alunos!$B$68,Alunos!A125,IF($C$5=Alunos!$E$68,Alunos!D121,"-"))))</f>
        <v>-</v>
      </c>
      <c r="B65" s="15" t="str">
        <f>IF($C$5=Alunos!$B$5,Alunos!B61,IF($C$5=Alunos!$E$5,Alunos!E61,IF($C$5=Alunos!$B$68,Alunos!B125,IF($C$5=Alunos!$E$68,Alunos!E121,"-"))))</f>
        <v>-</v>
      </c>
      <c r="C65" s="16"/>
      <c r="D65" s="23" t="e">
        <f>SUM('1º Bim 1'!D48,'2º Bim 1'!#REF!,'3º Bim 1'!#REF!,'4º Bim 1'!D66)</f>
        <v>#REF!</v>
      </c>
      <c r="E65" s="28">
        <f>'1º Bim 1'!L48</f>
        <v>5.34</v>
      </c>
      <c r="F65" s="28" t="e">
        <f>'2º Bim 1'!#REF!</f>
        <v>#REF!</v>
      </c>
      <c r="G65" s="28" t="e">
        <f>'3º Bim 1'!#REF!</f>
        <v>#REF!</v>
      </c>
      <c r="H65" s="28">
        <f>'4º Bim 1'!J66</f>
        <v>0</v>
      </c>
      <c r="I65" s="21"/>
      <c r="J65" s="19" t="e">
        <f t="shared" si="8"/>
        <v>#REF!</v>
      </c>
      <c r="K65" s="20" t="e">
        <f t="shared" si="9"/>
        <v>#REF!</v>
      </c>
      <c r="M65" s="29" t="e">
        <f t="shared" si="10"/>
        <v>#REF!</v>
      </c>
      <c r="N65" s="29" t="e">
        <f t="shared" si="11"/>
        <v>#REF!</v>
      </c>
      <c r="O65" s="29">
        <f t="shared" si="12"/>
        <v>0</v>
      </c>
      <c r="P65" s="29">
        <v>30</v>
      </c>
      <c r="Q65" s="29">
        <f t="shared" si="13"/>
        <v>0</v>
      </c>
      <c r="R65" s="29" t="e">
        <f t="shared" si="14"/>
        <v>#REF!</v>
      </c>
      <c r="S65" s="6" t="e">
        <f t="shared" si="15"/>
        <v>#REF!</v>
      </c>
    </row>
    <row r="66" spans="1:19" s="6" customFormat="1" ht="12">
      <c r="A66" s="15" t="str">
        <f>IF($C$5=Alunos!$B$5,Alunos!A62,IF($C$5=Alunos!$E$5,Alunos!D62,IF($C$5=Alunos!$B$68,Alunos!A126,IF($C$5=Alunos!$E$68,Alunos!D122,"-"))))</f>
        <v>-</v>
      </c>
      <c r="B66" s="15" t="str">
        <f>IF($C$5=Alunos!$B$5,Alunos!B62,IF($C$5=Alunos!$E$5,Alunos!E62,IF($C$5=Alunos!$B$68,Alunos!B126,IF($C$5=Alunos!$E$68,Alunos!E122,"-"))))</f>
        <v>-</v>
      </c>
      <c r="C66" s="16"/>
      <c r="D66" s="23" t="e">
        <f>SUM('1º Bim 1'!D49,'2º Bim 1'!#REF!,'3º Bim 1'!#REF!,'4º Bim 1'!D67)</f>
        <v>#REF!</v>
      </c>
      <c r="E66" s="28">
        <f>'1º Bim 1'!L49</f>
        <v>0</v>
      </c>
      <c r="F66" s="28" t="e">
        <f>'2º Bim 1'!#REF!</f>
        <v>#REF!</v>
      </c>
      <c r="G66" s="28" t="e">
        <f>'3º Bim 1'!#REF!</f>
        <v>#REF!</v>
      </c>
      <c r="H66" s="28">
        <f>'4º Bim 1'!J67</f>
        <v>0</v>
      </c>
      <c r="I66" s="21"/>
      <c r="J66" s="19" t="e">
        <f t="shared" si="8"/>
        <v>#REF!</v>
      </c>
      <c r="K66" s="20" t="e">
        <f t="shared" si="9"/>
        <v>#REF!</v>
      </c>
      <c r="M66" s="29" t="e">
        <f t="shared" si="10"/>
        <v>#REF!</v>
      </c>
      <c r="N66" s="29" t="e">
        <f t="shared" si="11"/>
        <v>#REF!</v>
      </c>
      <c r="O66" s="29">
        <f t="shared" si="12"/>
        <v>0</v>
      </c>
      <c r="P66" s="29">
        <v>30</v>
      </c>
      <c r="Q66" s="29">
        <f t="shared" si="13"/>
        <v>0</v>
      </c>
      <c r="R66" s="29" t="e">
        <f t="shared" si="14"/>
        <v>#REF!</v>
      </c>
      <c r="S66" s="6" t="e">
        <f t="shared" si="15"/>
        <v>#REF!</v>
      </c>
    </row>
    <row r="67" spans="1:19" s="6" customFormat="1" ht="12">
      <c r="A67" s="15" t="str">
        <f>IF($C$5=Alunos!$B$5,Alunos!A63,IF($C$5=Alunos!$E$5,Alunos!D63,IF($C$5=Alunos!$B$68,Alunos!A127,IF($C$5=Alunos!$E$68,Alunos!D123,"-"))))</f>
        <v>-</v>
      </c>
      <c r="B67" s="15" t="str">
        <f>IF($C$5=Alunos!$B$5,Alunos!B63,IF($C$5=Alunos!$E$5,Alunos!E63,IF($C$5=Alunos!$B$68,Alunos!B127,IF($C$5=Alunos!$E$68,Alunos!E123,"-"))))</f>
        <v>-</v>
      </c>
      <c r="C67" s="16"/>
      <c r="D67" s="23" t="e">
        <f>SUM('1º Bim 1'!D50,'2º Bim 1'!#REF!,'3º Bim 1'!#REF!,'4º Bim 1'!D68)</f>
        <v>#REF!</v>
      </c>
      <c r="E67" s="28">
        <f>'1º Bim 1'!L50</f>
        <v>0</v>
      </c>
      <c r="F67" s="28" t="e">
        <f>'2º Bim 1'!#REF!</f>
        <v>#REF!</v>
      </c>
      <c r="G67" s="28" t="e">
        <f>'3º Bim 1'!#REF!</f>
        <v>#REF!</v>
      </c>
      <c r="H67" s="28">
        <f>'4º Bim 1'!J68</f>
        <v>0</v>
      </c>
      <c r="I67" s="21"/>
      <c r="J67" s="19" t="e">
        <f t="shared" si="8"/>
        <v>#REF!</v>
      </c>
      <c r="K67" s="20" t="e">
        <f t="shared" si="9"/>
        <v>#REF!</v>
      </c>
      <c r="M67" s="29" t="e">
        <f t="shared" si="10"/>
        <v>#REF!</v>
      </c>
      <c r="N67" s="29" t="e">
        <f t="shared" si="11"/>
        <v>#REF!</v>
      </c>
      <c r="O67" s="29">
        <f t="shared" si="12"/>
        <v>0</v>
      </c>
      <c r="P67" s="29">
        <v>30</v>
      </c>
      <c r="Q67" s="29">
        <f t="shared" si="13"/>
        <v>0</v>
      </c>
      <c r="R67" s="29" t="e">
        <f t="shared" si="14"/>
        <v>#REF!</v>
      </c>
      <c r="S67" s="6" t="e">
        <f t="shared" si="15"/>
        <v>#REF!</v>
      </c>
    </row>
    <row r="68" spans="1:19" s="6" customFormat="1" ht="12">
      <c r="A68" s="15" t="str">
        <f>IF($C$5=Alunos!$B$5,Alunos!A64,IF($C$5=Alunos!$E$5,Alunos!D64,IF($C$5=Alunos!$B$68,Alunos!A128,IF($C$5=Alunos!$E$68,Alunos!D124,"-"))))</f>
        <v>-</v>
      </c>
      <c r="B68" s="15" t="str">
        <f>IF($C$5=Alunos!$B$5,Alunos!B64,IF($C$5=Alunos!$E$5,Alunos!E64,IF($C$5=Alunos!$B$68,Alunos!B128,IF($C$5=Alunos!$E$68,Alunos!E124,"-"))))</f>
        <v>-</v>
      </c>
      <c r="C68" s="16"/>
      <c r="D68" s="23" t="e">
        <f>SUM('1º Bim 1'!D51,'2º Bim 1'!#REF!,'3º Bim 1'!#REF!,'4º Bim 1'!D69)</f>
        <v>#REF!</v>
      </c>
      <c r="E68" s="28">
        <f>'1º Bim 1'!L51</f>
        <v>0</v>
      </c>
      <c r="F68" s="28" t="e">
        <f>'2º Bim 1'!#REF!</f>
        <v>#REF!</v>
      </c>
      <c r="G68" s="28" t="e">
        <f>'3º Bim 1'!#REF!</f>
        <v>#REF!</v>
      </c>
      <c r="H68" s="28">
        <f>'4º Bim 1'!J69</f>
        <v>0</v>
      </c>
      <c r="I68" s="21"/>
      <c r="J68" s="19" t="e">
        <f t="shared" si="8"/>
        <v>#REF!</v>
      </c>
      <c r="K68" s="20" t="e">
        <f t="shared" si="9"/>
        <v>#REF!</v>
      </c>
      <c r="M68" s="29" t="e">
        <f t="shared" si="10"/>
        <v>#REF!</v>
      </c>
      <c r="N68" s="29" t="e">
        <f t="shared" si="11"/>
        <v>#REF!</v>
      </c>
      <c r="O68" s="29">
        <f t="shared" si="12"/>
        <v>0</v>
      </c>
      <c r="P68" s="29">
        <v>30</v>
      </c>
      <c r="Q68" s="29">
        <f t="shared" si="13"/>
        <v>0</v>
      </c>
      <c r="R68" s="29" t="e">
        <f t="shared" si="14"/>
        <v>#REF!</v>
      </c>
      <c r="S68" s="6" t="e">
        <f t="shared" si="15"/>
        <v>#REF!</v>
      </c>
    </row>
    <row r="69" spans="1:2" ht="12.75">
      <c r="A69" s="64"/>
      <c r="B69" s="64"/>
    </row>
    <row r="70" spans="1:2" ht="12.75">
      <c r="A70" s="65"/>
      <c r="B70" s="65"/>
    </row>
  </sheetData>
  <sheetProtection password="CC2B" sheet="1" objects="1" scenarios="1"/>
  <mergeCells count="23">
    <mergeCell ref="C1:H2"/>
    <mergeCell ref="I1:I2"/>
    <mergeCell ref="J1:K2"/>
    <mergeCell ref="A4:B4"/>
    <mergeCell ref="D4:E4"/>
    <mergeCell ref="F4:I4"/>
    <mergeCell ref="J4:K4"/>
    <mergeCell ref="A5:B5"/>
    <mergeCell ref="D5:E5"/>
    <mergeCell ref="F5:I5"/>
    <mergeCell ref="J5:K6"/>
    <mergeCell ref="D6:E6"/>
    <mergeCell ref="F6:I6"/>
    <mergeCell ref="A8:A11"/>
    <mergeCell ref="B8:C11"/>
    <mergeCell ref="D8:D11"/>
    <mergeCell ref="K8:K11"/>
    <mergeCell ref="J8:J10"/>
    <mergeCell ref="E8:E9"/>
    <mergeCell ref="F8:F9"/>
    <mergeCell ref="G8:G9"/>
    <mergeCell ref="H8:H9"/>
    <mergeCell ref="I8:I9"/>
  </mergeCells>
  <conditionalFormatting sqref="E12:E68">
    <cfRule type="cellIs" priority="1" dxfId="2" operator="greaterThan" stopIfTrue="1">
      <formula>$E$11</formula>
    </cfRule>
  </conditionalFormatting>
  <conditionalFormatting sqref="F12:F68">
    <cfRule type="cellIs" priority="2" dxfId="2" operator="greaterThan" stopIfTrue="1">
      <formula>$F$11</formula>
    </cfRule>
  </conditionalFormatting>
  <conditionalFormatting sqref="G12:G68">
    <cfRule type="cellIs" priority="3" dxfId="2" operator="greaterThan" stopIfTrue="1">
      <formula>$G$11</formula>
    </cfRule>
  </conditionalFormatting>
  <conditionalFormatting sqref="H12:H68">
    <cfRule type="cellIs" priority="4" dxfId="2" operator="greaterThan" stopIfTrue="1">
      <formula>$H$11</formula>
    </cfRule>
  </conditionalFormatting>
  <conditionalFormatting sqref="I12:I68">
    <cfRule type="cellIs" priority="5" dxfId="2" operator="greaterThan" stopIfTrue="1">
      <formula>$I$11</formula>
    </cfRule>
  </conditionalFormatting>
  <conditionalFormatting sqref="J11">
    <cfRule type="cellIs" priority="6" dxfId="3" operator="greaterThan" stopIfTrue="1">
      <formula>100</formula>
    </cfRule>
  </conditionalFormatting>
  <conditionalFormatting sqref="J12:J68">
    <cfRule type="cellIs" priority="7" dxfId="0" operator="lessThan" stopIfTrue="1">
      <formula>70</formula>
    </cfRule>
    <cfRule type="cellIs" priority="8" dxfId="1" operator="greaterThanOrEqual" stopIfTrue="1">
      <formula>70</formula>
    </cfRule>
  </conditionalFormatting>
  <conditionalFormatting sqref="K12:K68">
    <cfRule type="cellIs" priority="9" dxfId="1" operator="equal" stopIfTrue="1">
      <formula>"APROVADO"</formula>
    </cfRule>
    <cfRule type="cellIs" priority="10" dxfId="0" operator="equal" stopIfTrue="1">
      <formula>"REPROVADO"</formula>
    </cfRule>
  </conditionalFormatting>
  <printOptions/>
  <pageMargins left="0.35" right="0.21" top="0.45" bottom="0.37" header="0.33" footer="0.28"/>
  <pageSetup horizontalDpi="600" verticalDpi="600" orientation="portrait" paperSize="9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showRowColHeaders="0" showZeros="0" showOutlineSymbols="0" zoomScale="80" zoomScaleNormal="80" workbookViewId="0" topLeftCell="A1">
      <selection activeCell="H13" sqref="H13"/>
    </sheetView>
  </sheetViews>
  <sheetFormatPr defaultColWidth="9.140625" defaultRowHeight="12.75"/>
  <cols>
    <col min="1" max="1" width="4.140625" style="30" customWidth="1"/>
    <col min="2" max="2" width="9.140625" style="30" customWidth="1"/>
    <col min="3" max="3" width="11.57421875" style="30" customWidth="1"/>
    <col min="4" max="4" width="0.71875" style="30" customWidth="1"/>
    <col min="5" max="5" width="23.421875" style="30" customWidth="1"/>
    <col min="6" max="6" width="12.140625" style="30" customWidth="1"/>
    <col min="7" max="7" width="3.28125" style="30" customWidth="1"/>
    <col min="8" max="11" width="12.7109375" style="30" customWidth="1"/>
    <col min="12" max="12" width="18.7109375" style="30" bestFit="1" customWidth="1"/>
    <col min="13" max="13" width="9.421875" style="30" customWidth="1"/>
    <col min="14" max="14" width="13.7109375" style="30" customWidth="1"/>
    <col min="15" max="16384" width="9.140625" style="30" customWidth="1"/>
  </cols>
  <sheetData>
    <row r="1" spans="1:13" ht="27.75" customHeight="1">
      <c r="A1" s="170" t="s">
        <v>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6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="31" customFormat="1" ht="5.25" customHeight="1">
      <c r="G3" s="32"/>
    </row>
    <row r="4" s="33" customFormat="1" ht="4.5" customHeight="1"/>
    <row r="5" ht="15.75" customHeight="1"/>
    <row r="6" spans="3:12" ht="25.5" customHeight="1">
      <c r="C6" s="172" t="s">
        <v>50</v>
      </c>
      <c r="D6" s="172"/>
      <c r="E6" s="172"/>
      <c r="H6" s="68" t="s">
        <v>54</v>
      </c>
      <c r="I6" s="168" t="str">
        <f>C17</f>
        <v>ADM de Agronegocio</v>
      </c>
      <c r="J6" s="168"/>
      <c r="K6" s="168"/>
      <c r="L6" s="168"/>
    </row>
    <row r="7" spans="13:17" s="34" customFormat="1" ht="23.25" customHeight="1">
      <c r="M7" s="36"/>
      <c r="N7" s="36"/>
      <c r="O7" s="36"/>
      <c r="P7" s="37"/>
      <c r="Q7" s="38"/>
    </row>
    <row r="8" spans="3:17" s="34" customFormat="1" ht="18" customHeight="1">
      <c r="C8" s="49" t="s">
        <v>51</v>
      </c>
      <c r="N8" s="37"/>
      <c r="O8" s="39"/>
      <c r="P8" s="37"/>
      <c r="Q8" s="38"/>
    </row>
    <row r="9" spans="3:17" s="34" customFormat="1" ht="18" customHeight="1">
      <c r="C9" s="173" t="s">
        <v>98</v>
      </c>
      <c r="D9" s="173"/>
      <c r="E9" s="173"/>
      <c r="F9" s="173"/>
      <c r="H9" s="171" t="s">
        <v>53</v>
      </c>
      <c r="I9" s="171"/>
      <c r="J9" s="171"/>
      <c r="K9" s="171"/>
      <c r="L9" s="171"/>
      <c r="N9" s="37"/>
      <c r="O9" s="39"/>
      <c r="P9" s="37"/>
      <c r="Q9" s="38"/>
    </row>
    <row r="10" spans="3:17" s="34" customFormat="1" ht="18" customHeight="1">
      <c r="C10" s="173"/>
      <c r="D10" s="173"/>
      <c r="E10" s="173"/>
      <c r="F10" s="173"/>
      <c r="H10" s="171"/>
      <c r="I10" s="171"/>
      <c r="J10" s="171"/>
      <c r="K10" s="171"/>
      <c r="L10" s="171"/>
      <c r="N10" s="37"/>
      <c r="O10" s="39"/>
      <c r="P10" s="37"/>
      <c r="Q10" s="38"/>
    </row>
    <row r="11" spans="3:17" s="34" customFormat="1" ht="18" customHeight="1">
      <c r="C11" s="62"/>
      <c r="D11" s="62"/>
      <c r="E11" s="62"/>
      <c r="F11" s="62"/>
      <c r="H11" s="35"/>
      <c r="I11" s="35"/>
      <c r="J11" s="35"/>
      <c r="K11" s="35"/>
      <c r="L11" s="35"/>
      <c r="N11" s="37"/>
      <c r="O11" s="39"/>
      <c r="P11" s="37"/>
      <c r="Q11" s="38"/>
    </row>
    <row r="12" spans="12:17" s="34" customFormat="1" ht="15" customHeight="1">
      <c r="L12" s="40" t="s">
        <v>42</v>
      </c>
      <c r="N12" s="37"/>
      <c r="O12" s="41"/>
      <c r="P12" s="37"/>
      <c r="Q12" s="38"/>
    </row>
    <row r="13" spans="2:17" s="34" customFormat="1" ht="18" customHeight="1">
      <c r="B13" s="175" t="s">
        <v>99</v>
      </c>
      <c r="C13" s="175"/>
      <c r="D13" s="175"/>
      <c r="E13" s="174" t="s">
        <v>118</v>
      </c>
      <c r="F13" s="174"/>
      <c r="H13" s="42" t="s">
        <v>43</v>
      </c>
      <c r="I13" s="42" t="s">
        <v>44</v>
      </c>
      <c r="J13" s="42" t="s">
        <v>45</v>
      </c>
      <c r="K13" s="42" t="s">
        <v>46</v>
      </c>
      <c r="L13" s="43" t="s">
        <v>47</v>
      </c>
      <c r="N13" s="37"/>
      <c r="O13" s="41"/>
      <c r="P13" s="37"/>
      <c r="Q13" s="38"/>
    </row>
    <row r="14" spans="8:17" s="34" customFormat="1" ht="15" customHeight="1">
      <c r="H14" s="44"/>
      <c r="N14" s="37"/>
      <c r="O14" s="41"/>
      <c r="P14" s="37"/>
      <c r="Q14" s="38"/>
    </row>
    <row r="15" spans="8:17" s="34" customFormat="1" ht="18" customHeight="1">
      <c r="H15" s="44"/>
      <c r="N15" s="37"/>
      <c r="O15" s="37"/>
      <c r="P15" s="37"/>
      <c r="Q15" s="37"/>
    </row>
    <row r="16" spans="2:17" s="34" customFormat="1" ht="15" customHeight="1">
      <c r="B16" s="30"/>
      <c r="N16" s="38"/>
      <c r="O16" s="38"/>
      <c r="P16" s="37"/>
      <c r="Q16" s="38"/>
    </row>
    <row r="17" spans="1:17" s="34" customFormat="1" ht="18" customHeight="1">
      <c r="A17" s="30"/>
      <c r="B17" s="45" t="s">
        <v>48</v>
      </c>
      <c r="C17" s="169" t="s">
        <v>119</v>
      </c>
      <c r="D17" s="169"/>
      <c r="E17" s="169"/>
      <c r="F17" s="45" t="s">
        <v>49</v>
      </c>
      <c r="H17" s="63" t="s">
        <v>58</v>
      </c>
      <c r="I17" s="46"/>
      <c r="N17" s="38"/>
      <c r="O17" s="38"/>
      <c r="P17" s="37"/>
      <c r="Q17" s="38"/>
    </row>
    <row r="18" spans="1:17" s="34" customFormat="1" ht="13.5" customHeight="1">
      <c r="A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N18" s="38"/>
      <c r="O18" s="38"/>
      <c r="P18" s="37"/>
      <c r="Q18" s="38"/>
    </row>
    <row r="19" spans="1:17" s="34" customFormat="1" ht="30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38"/>
      <c r="O19" s="38"/>
      <c r="P19" s="37"/>
      <c r="Q19" s="38"/>
    </row>
    <row r="20" spans="14:17" ht="12.75">
      <c r="N20" s="47"/>
      <c r="O20" s="47"/>
      <c r="P20" s="48"/>
      <c r="Q20" s="47"/>
    </row>
    <row r="21" spans="6:17" ht="12" customHeight="1">
      <c r="F21" s="167" t="s">
        <v>52</v>
      </c>
      <c r="G21" s="167"/>
      <c r="H21" s="167"/>
      <c r="N21" s="47"/>
      <c r="O21" s="47"/>
      <c r="P21" s="48"/>
      <c r="Q21" s="47"/>
    </row>
    <row r="22" spans="6:17" ht="12.75" customHeight="1">
      <c r="F22" s="167"/>
      <c r="G22" s="167"/>
      <c r="H22" s="167"/>
      <c r="N22" s="47"/>
      <c r="O22" s="47"/>
      <c r="P22" s="48"/>
      <c r="Q22" s="47"/>
    </row>
    <row r="23" spans="14:17" ht="12.75" customHeight="1">
      <c r="N23" s="47"/>
      <c r="O23" s="47"/>
      <c r="P23" s="48"/>
      <c r="Q23" s="47"/>
    </row>
    <row r="24" spans="14:17" ht="12.75" customHeight="1">
      <c r="N24" s="47"/>
      <c r="O24" s="47"/>
      <c r="P24" s="48"/>
      <c r="Q24" s="47"/>
    </row>
    <row r="25" spans="14:17" ht="12.75">
      <c r="N25" s="47"/>
      <c r="O25" s="47"/>
      <c r="P25" s="48"/>
      <c r="Q25" s="47"/>
    </row>
    <row r="26" spans="14:17" ht="12.75">
      <c r="N26" s="47"/>
      <c r="O26" s="47"/>
      <c r="P26" s="48"/>
      <c r="Q26" s="47"/>
    </row>
    <row r="27" spans="14:17" ht="12.75">
      <c r="N27" s="47"/>
      <c r="O27" s="47"/>
      <c r="P27" s="48"/>
      <c r="Q27" s="48"/>
    </row>
  </sheetData>
  <sheetProtection/>
  <mergeCells count="9">
    <mergeCell ref="F21:H22"/>
    <mergeCell ref="I6:L6"/>
    <mergeCell ref="C17:E17"/>
    <mergeCell ref="A1:M2"/>
    <mergeCell ref="H9:L10"/>
    <mergeCell ref="C6:E6"/>
    <mergeCell ref="C9:F10"/>
    <mergeCell ref="E13:F13"/>
    <mergeCell ref="B13:D13"/>
  </mergeCells>
  <conditionalFormatting sqref="I6:L6">
    <cfRule type="cellIs" priority="1" dxfId="4" operator="greaterThanOrEqual" stopIfTrue="1">
      <formula>0</formula>
    </cfRule>
  </conditionalFormatting>
  <hyperlinks>
    <hyperlink ref="H13" location="'1º Bim 1'!A1" display="1º Bimestre"/>
    <hyperlink ref="I13:K13" location="'Disciplina 1'!A1" display="'Disciplina 1'!A1"/>
    <hyperlink ref="I13" location="'2º Bim 1'!A1" display="2º Bimestre"/>
    <hyperlink ref="J13" location="'3º Bim 1'!A1" display="3º Bimestre"/>
    <hyperlink ref="K13" location="'4º Bim 1'!A1" display="4º Bimestre"/>
    <hyperlink ref="L13" location="'Fechamento 1'!A1" display="Total Notas/Faltas"/>
  </hyperlinks>
  <printOptions horizontalCentered="1" verticalCentered="1"/>
  <pageMargins left="0.31496062992125984" right="0.35433070866141736" top="0.984251968503937" bottom="0.984251968503937" header="0.5118110236220472" footer="0.5118110236220472"/>
  <pageSetup horizontalDpi="120" verticalDpi="12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7"/>
  <sheetViews>
    <sheetView showGridLines="0" showZeros="0" showOutlineSymbols="0" workbookViewId="0" topLeftCell="A1">
      <selection activeCell="B4" sqref="B4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1.8515625" style="0" customWidth="1"/>
    <col min="4" max="4" width="9.8515625" style="0" bestFit="1" customWidth="1"/>
    <col min="5" max="5" width="37.140625" style="0" bestFit="1" customWidth="1"/>
  </cols>
  <sheetData>
    <row r="1" spans="2:5" ht="12.75">
      <c r="B1" s="176" t="s">
        <v>96</v>
      </c>
      <c r="C1" s="176"/>
      <c r="D1" s="176"/>
      <c r="E1" s="176"/>
    </row>
    <row r="2" spans="2:5" ht="12.75">
      <c r="B2" s="176"/>
      <c r="C2" s="176"/>
      <c r="D2" s="176"/>
      <c r="E2" s="176"/>
    </row>
    <row r="4" spans="1:5" ht="12.75">
      <c r="A4" s="50" t="s">
        <v>2</v>
      </c>
      <c r="B4" s="51" t="s">
        <v>57</v>
      </c>
      <c r="C4" s="52"/>
      <c r="D4" s="50" t="s">
        <v>2</v>
      </c>
      <c r="E4" s="51" t="s">
        <v>57</v>
      </c>
    </row>
    <row r="5" spans="1:5" ht="12.75">
      <c r="A5" s="50" t="s">
        <v>5</v>
      </c>
      <c r="B5" s="53" t="s">
        <v>194</v>
      </c>
      <c r="C5" s="52"/>
      <c r="D5" s="50" t="s">
        <v>5</v>
      </c>
      <c r="E5" s="53" t="s">
        <v>193</v>
      </c>
    </row>
    <row r="6" spans="1:5" ht="12.75">
      <c r="A6" s="50"/>
      <c r="B6" s="50"/>
      <c r="C6" s="50"/>
      <c r="D6" s="69"/>
      <c r="E6" s="70"/>
    </row>
    <row r="7" spans="1:5" ht="12.75">
      <c r="A7" s="54" t="s">
        <v>9</v>
      </c>
      <c r="B7" s="55" t="s">
        <v>10</v>
      </c>
      <c r="C7" s="52"/>
      <c r="D7" s="54" t="s">
        <v>9</v>
      </c>
      <c r="E7" s="55" t="s">
        <v>10</v>
      </c>
    </row>
    <row r="8" spans="1:6" ht="12.75">
      <c r="A8" s="58"/>
      <c r="B8" s="86"/>
      <c r="C8" s="24"/>
      <c r="D8" s="99"/>
      <c r="E8" s="86"/>
      <c r="F8" s="100"/>
    </row>
    <row r="9" spans="1:6" ht="12.75">
      <c r="A9" s="58"/>
      <c r="B9" s="86"/>
      <c r="C9" s="24"/>
      <c r="D9" s="58"/>
      <c r="E9" s="86"/>
      <c r="F9" s="25"/>
    </row>
    <row r="10" spans="1:6" ht="12.75">
      <c r="A10" s="58"/>
      <c r="B10" s="86"/>
      <c r="C10" s="24"/>
      <c r="D10" s="58"/>
      <c r="E10" s="86"/>
      <c r="F10" s="25"/>
    </row>
    <row r="11" spans="1:6" ht="12.75">
      <c r="A11" s="58"/>
      <c r="B11" s="86"/>
      <c r="C11" s="24"/>
      <c r="D11" s="58"/>
      <c r="E11" s="86"/>
      <c r="F11" s="25"/>
    </row>
    <row r="12" spans="1:6" ht="12.75">
      <c r="A12" s="75"/>
      <c r="B12" s="86"/>
      <c r="C12" s="87"/>
      <c r="D12" s="75"/>
      <c r="E12" s="86"/>
      <c r="F12" s="25"/>
    </row>
    <row r="13" spans="1:6" ht="12.75">
      <c r="A13" s="75"/>
      <c r="B13" s="88"/>
      <c r="C13" s="89"/>
      <c r="D13" s="75"/>
      <c r="E13" s="86"/>
      <c r="F13" s="25"/>
    </row>
    <row r="14" spans="1:6" ht="12.75">
      <c r="A14" s="75"/>
      <c r="B14" s="86"/>
      <c r="C14" s="90"/>
      <c r="D14" s="75"/>
      <c r="E14" s="86"/>
      <c r="F14" s="25"/>
    </row>
    <row r="15" spans="1:6" ht="12.75">
      <c r="A15" s="75"/>
      <c r="B15" s="88"/>
      <c r="C15" s="89"/>
      <c r="D15" s="75"/>
      <c r="E15" s="86"/>
      <c r="F15" s="25"/>
    </row>
    <row r="16" spans="1:6" ht="12.75">
      <c r="A16" s="75"/>
      <c r="B16" s="86"/>
      <c r="C16" s="91"/>
      <c r="D16" s="75"/>
      <c r="E16" s="86"/>
      <c r="F16" s="25"/>
    </row>
    <row r="17" spans="1:6" ht="12.75">
      <c r="A17" s="75"/>
      <c r="B17" s="86"/>
      <c r="C17" s="24"/>
      <c r="D17" s="75"/>
      <c r="E17" s="86"/>
      <c r="F17" s="25"/>
    </row>
    <row r="18" spans="1:6" ht="12.75">
      <c r="A18" s="75"/>
      <c r="B18" s="86"/>
      <c r="C18" s="24"/>
      <c r="D18" s="75"/>
      <c r="E18" s="86"/>
      <c r="F18" s="25"/>
    </row>
    <row r="19" spans="1:6" ht="12.75">
      <c r="A19" s="75"/>
      <c r="B19" s="86"/>
      <c r="C19" s="24"/>
      <c r="D19" s="75"/>
      <c r="E19" s="86"/>
      <c r="F19" s="25"/>
    </row>
    <row r="20" spans="1:6" ht="12.75">
      <c r="A20" s="75"/>
      <c r="B20" s="86"/>
      <c r="C20" s="24"/>
      <c r="D20" s="75"/>
      <c r="E20" s="86"/>
      <c r="F20" s="25"/>
    </row>
    <row r="21" spans="1:6" ht="12.75">
      <c r="A21" s="75"/>
      <c r="B21" s="86"/>
      <c r="C21" s="24"/>
      <c r="D21" s="75"/>
      <c r="E21" s="86"/>
      <c r="F21" s="25"/>
    </row>
    <row r="22" spans="1:6" ht="12.75">
      <c r="A22" s="75"/>
      <c r="B22" s="86"/>
      <c r="C22" s="24"/>
      <c r="D22" s="75"/>
      <c r="E22" s="86"/>
      <c r="F22" s="25"/>
    </row>
    <row r="23" spans="1:6" ht="12.75">
      <c r="A23" s="75"/>
      <c r="B23" s="86"/>
      <c r="C23" s="24"/>
      <c r="D23" s="75"/>
      <c r="E23" s="86"/>
      <c r="F23" s="25"/>
    </row>
    <row r="24" spans="1:6" ht="12.75">
      <c r="A24" s="75"/>
      <c r="B24" s="86"/>
      <c r="C24" s="24"/>
      <c r="D24" s="75"/>
      <c r="E24" s="86"/>
      <c r="F24" s="25"/>
    </row>
    <row r="25" spans="1:6" ht="12.75">
      <c r="A25" s="75"/>
      <c r="B25" s="86"/>
      <c r="C25" s="87"/>
      <c r="D25" s="75"/>
      <c r="E25" s="86"/>
      <c r="F25" s="25"/>
    </row>
    <row r="26" spans="1:6" ht="12.75">
      <c r="A26" s="75"/>
      <c r="B26" s="88"/>
      <c r="C26" s="89"/>
      <c r="D26" s="75"/>
      <c r="E26" s="86"/>
      <c r="F26" s="25"/>
    </row>
    <row r="27" spans="1:6" ht="12.75">
      <c r="A27" s="75"/>
      <c r="B27" s="86"/>
      <c r="C27" s="91"/>
      <c r="D27" s="75"/>
      <c r="E27" s="86"/>
      <c r="F27" s="25"/>
    </row>
    <row r="28" spans="1:6" ht="12.75">
      <c r="A28" s="75"/>
      <c r="B28" s="86"/>
      <c r="C28" s="24"/>
      <c r="D28" s="75"/>
      <c r="E28" s="86"/>
      <c r="F28" s="25"/>
    </row>
    <row r="29" spans="1:6" ht="12.75">
      <c r="A29" s="75"/>
      <c r="B29" s="86"/>
      <c r="C29" s="24"/>
      <c r="D29" s="75"/>
      <c r="E29" s="86"/>
      <c r="F29" s="25"/>
    </row>
    <row r="30" spans="1:6" ht="12.75">
      <c r="A30" s="75"/>
      <c r="B30" s="86"/>
      <c r="C30" s="24"/>
      <c r="D30" s="75"/>
      <c r="E30" s="86"/>
      <c r="F30" s="25"/>
    </row>
    <row r="31" spans="1:6" ht="12.75">
      <c r="A31" s="75"/>
      <c r="B31" s="86"/>
      <c r="C31" s="24"/>
      <c r="D31" s="75"/>
      <c r="E31" s="86"/>
      <c r="F31" s="25"/>
    </row>
    <row r="32" spans="1:6" ht="12.75">
      <c r="A32" s="75"/>
      <c r="B32" s="86"/>
      <c r="C32" s="24"/>
      <c r="D32" s="75"/>
      <c r="E32" s="86"/>
      <c r="F32" s="25"/>
    </row>
    <row r="33" spans="1:6" ht="12.75">
      <c r="A33" s="75"/>
      <c r="B33" s="88"/>
      <c r="C33" s="89"/>
      <c r="D33" s="75"/>
      <c r="E33" s="86"/>
      <c r="F33" s="25"/>
    </row>
    <row r="34" spans="1:6" ht="12.75">
      <c r="A34" s="75"/>
      <c r="B34" s="86"/>
      <c r="C34" s="91"/>
      <c r="D34" s="75"/>
      <c r="E34" s="86"/>
      <c r="F34" s="25"/>
    </row>
    <row r="35" spans="1:6" ht="12.75">
      <c r="A35" s="75"/>
      <c r="B35" s="86"/>
      <c r="C35" s="24"/>
      <c r="D35" s="75"/>
      <c r="E35" s="86"/>
      <c r="F35" s="25"/>
    </row>
    <row r="36" spans="1:6" ht="12.75">
      <c r="A36" s="75"/>
      <c r="B36" s="86"/>
      <c r="C36" s="92"/>
      <c r="D36" s="75"/>
      <c r="E36" s="101"/>
      <c r="F36" s="25"/>
    </row>
    <row r="37" spans="1:6" ht="12.75">
      <c r="A37" s="58"/>
      <c r="B37" s="88"/>
      <c r="C37" s="93"/>
      <c r="D37" s="75"/>
      <c r="E37" s="86"/>
      <c r="F37" s="25"/>
    </row>
    <row r="38" spans="1:6" ht="12.75">
      <c r="A38" s="58"/>
      <c r="B38" s="86"/>
      <c r="C38" s="92"/>
      <c r="D38" s="75"/>
      <c r="E38" s="86"/>
      <c r="F38" s="25"/>
    </row>
    <row r="39" spans="1:6" ht="12.75">
      <c r="A39" s="58"/>
      <c r="B39" s="86"/>
      <c r="C39" s="92"/>
      <c r="D39" s="58"/>
      <c r="E39" s="86"/>
      <c r="F39" s="25"/>
    </row>
    <row r="40" spans="1:6" ht="12.75">
      <c r="A40" s="58"/>
      <c r="B40" s="86"/>
      <c r="C40" s="92"/>
      <c r="D40" s="58"/>
      <c r="E40" s="86"/>
      <c r="F40" s="25"/>
    </row>
    <row r="41" spans="1:6" ht="12.75">
      <c r="A41" s="58"/>
      <c r="B41" s="86"/>
      <c r="C41" s="92"/>
      <c r="D41" s="58"/>
      <c r="E41" s="86"/>
      <c r="F41" s="25"/>
    </row>
    <row r="42" spans="1:6" ht="12.75">
      <c r="A42" s="58"/>
      <c r="B42" s="86"/>
      <c r="C42" s="92"/>
      <c r="D42" s="94"/>
      <c r="E42" s="86"/>
      <c r="F42" s="25"/>
    </row>
    <row r="43" spans="1:6" ht="12.75">
      <c r="A43" s="58"/>
      <c r="B43" s="86"/>
      <c r="C43" s="92"/>
      <c r="D43" s="94"/>
      <c r="E43" s="86"/>
      <c r="F43" s="25"/>
    </row>
    <row r="44" spans="1:5" ht="12.75">
      <c r="A44" s="58"/>
      <c r="B44" s="86"/>
      <c r="C44" s="92"/>
      <c r="D44" s="102"/>
      <c r="E44" s="24"/>
    </row>
    <row r="45" spans="1:5" ht="12.75">
      <c r="A45" s="58"/>
      <c r="B45" s="86"/>
      <c r="C45" s="92"/>
      <c r="D45" s="56"/>
      <c r="E45" s="57"/>
    </row>
    <row r="46" spans="1:5" ht="12.75">
      <c r="A46" s="58"/>
      <c r="B46" s="86"/>
      <c r="C46" s="92"/>
      <c r="D46" s="56"/>
      <c r="E46" s="57"/>
    </row>
    <row r="47" spans="1:5" ht="12.75">
      <c r="A47" s="94"/>
      <c r="B47" s="86"/>
      <c r="C47" s="92"/>
      <c r="D47" s="56"/>
      <c r="E47" s="57"/>
    </row>
    <row r="48" spans="1:5" ht="12.75">
      <c r="A48" s="94"/>
      <c r="B48" s="95"/>
      <c r="C48" s="96"/>
      <c r="D48" s="56"/>
      <c r="E48" s="57"/>
    </row>
    <row r="49" spans="1:5" ht="12.75">
      <c r="A49" s="94"/>
      <c r="B49" s="86"/>
      <c r="C49" s="86"/>
      <c r="D49" s="56"/>
      <c r="E49" s="57"/>
    </row>
    <row r="50" spans="1:5" ht="12.75">
      <c r="A50" s="94"/>
      <c r="B50" s="86"/>
      <c r="C50" s="86"/>
      <c r="D50" s="56"/>
      <c r="E50" s="57"/>
    </row>
    <row r="51" spans="1:5" ht="12.75">
      <c r="A51" s="94"/>
      <c r="B51" s="86"/>
      <c r="C51" s="86"/>
      <c r="D51" s="56"/>
      <c r="E51" s="57"/>
    </row>
    <row r="52" spans="1:5" ht="12.75">
      <c r="A52" s="94"/>
      <c r="B52" s="86"/>
      <c r="C52" s="86"/>
      <c r="D52" s="56"/>
      <c r="E52" s="57"/>
    </row>
    <row r="53" spans="1:5" ht="12.75">
      <c r="A53" s="75"/>
      <c r="B53" s="86"/>
      <c r="C53" s="97"/>
      <c r="D53" s="56"/>
      <c r="E53" s="57"/>
    </row>
    <row r="54" spans="1:5" ht="12.75">
      <c r="A54" s="75"/>
      <c r="B54" s="86"/>
      <c r="C54" s="98"/>
      <c r="D54" s="56"/>
      <c r="E54" s="57"/>
    </row>
    <row r="55" spans="1:5" ht="12.75">
      <c r="A55" s="75"/>
      <c r="B55" s="88"/>
      <c r="C55" s="98"/>
      <c r="D55" s="56"/>
      <c r="E55" s="57"/>
    </row>
    <row r="56" spans="1:5" ht="12.75">
      <c r="A56" s="75"/>
      <c r="B56" s="88"/>
      <c r="C56" s="98"/>
      <c r="D56" s="56"/>
      <c r="E56" s="57"/>
    </row>
    <row r="57" spans="1:5" ht="12.75">
      <c r="A57" s="58"/>
      <c r="B57" s="59"/>
      <c r="C57" s="52"/>
      <c r="D57" s="56"/>
      <c r="E57" s="57"/>
    </row>
    <row r="58" spans="1:5" ht="12.75">
      <c r="A58" s="58"/>
      <c r="B58" s="59"/>
      <c r="C58" s="52"/>
      <c r="D58" s="56"/>
      <c r="E58" s="57"/>
    </row>
    <row r="59" spans="1:5" ht="12.75">
      <c r="A59" s="58"/>
      <c r="B59" s="59"/>
      <c r="C59" s="52"/>
      <c r="D59" s="56"/>
      <c r="E59" s="57"/>
    </row>
    <row r="60" spans="1:5" ht="12.75">
      <c r="A60" s="58"/>
      <c r="B60" s="59"/>
      <c r="C60" s="52"/>
      <c r="D60" s="56"/>
      <c r="E60" s="57"/>
    </row>
    <row r="61" spans="1:5" ht="12.75">
      <c r="A61" s="58"/>
      <c r="B61" s="59"/>
      <c r="C61" s="52"/>
      <c r="D61" s="56"/>
      <c r="E61" s="57"/>
    </row>
    <row r="62" spans="1:5" ht="12.75">
      <c r="A62" s="58"/>
      <c r="B62" s="59"/>
      <c r="C62" s="52"/>
      <c r="D62" s="56"/>
      <c r="E62" s="57"/>
    </row>
    <row r="63" spans="1:5" ht="12.75">
      <c r="A63" s="58"/>
      <c r="B63" s="59"/>
      <c r="C63" s="52"/>
      <c r="D63" s="56"/>
      <c r="E63" s="57"/>
    </row>
    <row r="64" spans="1:5" ht="12.75">
      <c r="A64" s="60"/>
      <c r="B64" s="61"/>
      <c r="C64" s="52"/>
      <c r="D64" s="71"/>
      <c r="E64" s="72"/>
    </row>
    <row r="65" spans="1:5" ht="12.75">
      <c r="A65" s="60"/>
      <c r="B65" s="61"/>
      <c r="C65" s="52"/>
      <c r="D65" s="71"/>
      <c r="E65" s="72"/>
    </row>
    <row r="67" spans="1:5" ht="12.75">
      <c r="A67" s="50"/>
      <c r="B67" s="51" t="s">
        <v>57</v>
      </c>
      <c r="C67" s="52"/>
      <c r="D67" s="50"/>
      <c r="E67" s="51" t="s">
        <v>57</v>
      </c>
    </row>
    <row r="68" spans="1:5" ht="12.75">
      <c r="A68" s="50"/>
      <c r="B68" s="53" t="s">
        <v>192</v>
      </c>
      <c r="C68" s="52"/>
      <c r="D68" s="50"/>
      <c r="E68" s="53" t="s">
        <v>191</v>
      </c>
    </row>
    <row r="69" spans="1:5" ht="12.75">
      <c r="A69" s="50"/>
      <c r="B69" s="50"/>
      <c r="C69" s="50"/>
      <c r="D69" s="69"/>
      <c r="E69" s="70"/>
    </row>
    <row r="70" spans="1:5" ht="12.75">
      <c r="A70" s="52"/>
      <c r="B70" s="52"/>
      <c r="C70" s="52"/>
      <c r="D70" s="52"/>
      <c r="E70" s="52"/>
    </row>
    <row r="71" spans="1:5" ht="12.75">
      <c r="A71" s="54"/>
      <c r="B71" s="55"/>
      <c r="C71" s="52"/>
      <c r="D71" s="54"/>
      <c r="E71" s="55"/>
    </row>
    <row r="72" spans="1:5" ht="12.75">
      <c r="A72" s="99"/>
      <c r="B72" s="86"/>
      <c r="C72" s="86"/>
      <c r="D72" s="110">
        <v>1</v>
      </c>
      <c r="E72" s="118" t="s">
        <v>120</v>
      </c>
    </row>
    <row r="73" spans="1:5" ht="12.75">
      <c r="A73" s="58"/>
      <c r="B73" s="86"/>
      <c r="C73" s="86"/>
      <c r="D73" s="110">
        <v>2</v>
      </c>
      <c r="E73" s="118" t="s">
        <v>121</v>
      </c>
    </row>
    <row r="74" spans="1:5" ht="12.75">
      <c r="A74" s="58"/>
      <c r="B74" s="86"/>
      <c r="C74" s="86"/>
      <c r="D74" s="111">
        <v>3</v>
      </c>
      <c r="E74" s="118" t="s">
        <v>122</v>
      </c>
    </row>
    <row r="75" spans="1:5" ht="12.75">
      <c r="A75" s="58"/>
      <c r="B75" s="86"/>
      <c r="C75" s="86"/>
      <c r="D75" s="111">
        <v>4</v>
      </c>
      <c r="E75" s="118" t="s">
        <v>123</v>
      </c>
    </row>
    <row r="76" spans="1:5" ht="12.75">
      <c r="A76" s="58"/>
      <c r="B76" s="86"/>
      <c r="C76" s="86"/>
      <c r="D76" s="112">
        <v>5</v>
      </c>
      <c r="E76" s="118" t="s">
        <v>124</v>
      </c>
    </row>
    <row r="77" spans="1:5" ht="12.75">
      <c r="A77" s="58"/>
      <c r="B77" s="86"/>
      <c r="C77" s="86"/>
      <c r="D77" s="112">
        <v>6</v>
      </c>
      <c r="E77" s="118" t="s">
        <v>125</v>
      </c>
    </row>
    <row r="78" spans="1:5" ht="12.75">
      <c r="A78" s="58"/>
      <c r="B78" s="86"/>
      <c r="C78" s="86"/>
      <c r="D78" s="112">
        <v>7</v>
      </c>
      <c r="E78" s="118" t="s">
        <v>126</v>
      </c>
    </row>
    <row r="79" spans="1:5" ht="12.75">
      <c r="A79" s="75"/>
      <c r="B79" s="86"/>
      <c r="C79" s="86"/>
      <c r="D79" s="112">
        <v>8</v>
      </c>
      <c r="E79" s="118" t="s">
        <v>127</v>
      </c>
    </row>
    <row r="80" spans="1:5" ht="12.75">
      <c r="A80" s="75"/>
      <c r="B80" s="86"/>
      <c r="C80" s="86"/>
      <c r="D80" s="112">
        <v>9</v>
      </c>
      <c r="E80" s="118" t="s">
        <v>128</v>
      </c>
    </row>
    <row r="81" spans="1:5" ht="12.75">
      <c r="A81" s="75"/>
      <c r="B81" s="86"/>
      <c r="C81" s="86"/>
      <c r="D81" s="112">
        <v>10</v>
      </c>
      <c r="E81" s="118" t="s">
        <v>129</v>
      </c>
    </row>
    <row r="82" spans="1:5" ht="12.75">
      <c r="A82" s="75"/>
      <c r="B82" s="86"/>
      <c r="C82" s="86"/>
      <c r="D82" s="112">
        <v>11</v>
      </c>
      <c r="E82" s="118" t="s">
        <v>130</v>
      </c>
    </row>
    <row r="83" spans="1:5" ht="12.75">
      <c r="A83" s="75"/>
      <c r="B83" s="86"/>
      <c r="C83" s="86"/>
      <c r="D83" s="112">
        <v>12</v>
      </c>
      <c r="E83" s="118" t="s">
        <v>131</v>
      </c>
    </row>
    <row r="84" spans="1:5" ht="12.75">
      <c r="A84" s="75"/>
      <c r="B84" s="86"/>
      <c r="C84" s="86"/>
      <c r="D84" s="112">
        <v>13</v>
      </c>
      <c r="E84" s="118" t="s">
        <v>132</v>
      </c>
    </row>
    <row r="85" spans="1:5" ht="12.75">
      <c r="A85" s="75"/>
      <c r="B85" s="86"/>
      <c r="C85" s="86"/>
      <c r="D85" s="112">
        <v>14</v>
      </c>
      <c r="E85" s="118" t="s">
        <v>133</v>
      </c>
    </row>
    <row r="86" spans="1:5" ht="12.75">
      <c r="A86" s="75"/>
      <c r="B86" s="86"/>
      <c r="C86" s="86"/>
      <c r="D86" s="112">
        <v>15</v>
      </c>
      <c r="E86" s="118" t="s">
        <v>134</v>
      </c>
    </row>
    <row r="87" spans="1:5" ht="12.75">
      <c r="A87" s="75"/>
      <c r="B87" s="86"/>
      <c r="C87" s="86"/>
      <c r="D87" s="112">
        <v>16</v>
      </c>
      <c r="E87" s="118" t="s">
        <v>135</v>
      </c>
    </row>
    <row r="88" spans="1:5" ht="12.75">
      <c r="A88" s="75"/>
      <c r="B88" s="86"/>
      <c r="C88" s="86"/>
      <c r="D88" s="112">
        <v>17</v>
      </c>
      <c r="E88" s="118" t="s">
        <v>136</v>
      </c>
    </row>
    <row r="89" spans="1:5" ht="12.75">
      <c r="A89" s="75"/>
      <c r="B89" s="86"/>
      <c r="C89" s="86"/>
      <c r="D89" s="112">
        <v>18</v>
      </c>
      <c r="E89" s="118" t="s">
        <v>137</v>
      </c>
    </row>
    <row r="90" spans="1:5" ht="12.75">
      <c r="A90" s="75"/>
      <c r="B90" s="86"/>
      <c r="C90" s="86"/>
      <c r="D90" s="112">
        <v>19</v>
      </c>
      <c r="E90" s="118" t="s">
        <v>138</v>
      </c>
    </row>
    <row r="91" spans="1:5" ht="12.75">
      <c r="A91" s="75"/>
      <c r="B91" s="86"/>
      <c r="C91" s="86"/>
      <c r="D91" s="113">
        <v>20</v>
      </c>
      <c r="E91" s="118" t="s">
        <v>139</v>
      </c>
    </row>
    <row r="92" spans="1:5" ht="12.75">
      <c r="A92" s="75"/>
      <c r="B92" s="86"/>
      <c r="C92" s="86"/>
      <c r="D92" s="114">
        <v>21</v>
      </c>
      <c r="E92" s="118" t="s">
        <v>140</v>
      </c>
    </row>
    <row r="93" spans="1:5" ht="12.75">
      <c r="A93" s="75"/>
      <c r="B93" s="86"/>
      <c r="C93" s="86"/>
      <c r="D93" s="114">
        <v>22</v>
      </c>
      <c r="E93" s="118" t="s">
        <v>141</v>
      </c>
    </row>
    <row r="94" spans="1:5" ht="12.75">
      <c r="A94" s="75"/>
      <c r="B94" s="86"/>
      <c r="C94" s="86"/>
      <c r="D94" s="115">
        <v>23</v>
      </c>
      <c r="E94" s="118" t="s">
        <v>142</v>
      </c>
    </row>
    <row r="95" spans="1:5" ht="12.75">
      <c r="A95" s="75"/>
      <c r="B95" s="86"/>
      <c r="C95" s="86"/>
      <c r="D95" s="116">
        <v>24</v>
      </c>
      <c r="E95" s="118" t="s">
        <v>143</v>
      </c>
    </row>
    <row r="96" spans="1:5" ht="12.75">
      <c r="A96" s="75"/>
      <c r="B96" s="86"/>
      <c r="C96" s="86"/>
      <c r="D96" s="117">
        <v>25</v>
      </c>
      <c r="E96" s="118" t="s">
        <v>144</v>
      </c>
    </row>
    <row r="97" spans="1:5" ht="12.75">
      <c r="A97" s="75"/>
      <c r="B97" s="86"/>
      <c r="C97" s="86"/>
      <c r="D97" s="117">
        <v>26</v>
      </c>
      <c r="E97" s="118" t="s">
        <v>145</v>
      </c>
    </row>
    <row r="98" spans="1:5" ht="12.75">
      <c r="A98" s="75"/>
      <c r="B98" s="86"/>
      <c r="C98" s="86"/>
      <c r="D98" s="75">
        <v>27</v>
      </c>
      <c r="E98" s="118" t="s">
        <v>146</v>
      </c>
    </row>
    <row r="99" spans="1:5" ht="12.75">
      <c r="A99" s="75"/>
      <c r="B99" s="86"/>
      <c r="C99" s="86"/>
      <c r="D99" s="75">
        <v>28</v>
      </c>
      <c r="E99" s="118" t="s">
        <v>147</v>
      </c>
    </row>
    <row r="100" spans="1:5" ht="12.75">
      <c r="A100" s="75"/>
      <c r="B100" s="86"/>
      <c r="C100" s="86"/>
      <c r="D100" s="75">
        <v>29</v>
      </c>
      <c r="E100" s="118" t="s">
        <v>148</v>
      </c>
    </row>
    <row r="101" spans="1:5" ht="12.75">
      <c r="A101" s="75"/>
      <c r="B101" s="86"/>
      <c r="C101" s="86"/>
      <c r="D101" s="75">
        <v>30</v>
      </c>
      <c r="E101" s="118" t="s">
        <v>149</v>
      </c>
    </row>
    <row r="102" spans="1:5" ht="12.75">
      <c r="A102" s="75"/>
      <c r="B102" s="86"/>
      <c r="C102" s="86"/>
      <c r="D102" s="75">
        <v>31</v>
      </c>
      <c r="E102" s="118" t="s">
        <v>150</v>
      </c>
    </row>
    <row r="103" spans="1:5" ht="12.75">
      <c r="A103" s="75"/>
      <c r="B103" s="86"/>
      <c r="C103" s="86"/>
      <c r="D103" s="75">
        <v>32</v>
      </c>
      <c r="E103" s="118" t="s">
        <v>151</v>
      </c>
    </row>
    <row r="104" spans="1:5" ht="12.75">
      <c r="A104" s="75"/>
      <c r="B104" s="86"/>
      <c r="C104" s="86"/>
      <c r="D104" s="75">
        <v>33</v>
      </c>
      <c r="E104" s="118" t="s">
        <v>152</v>
      </c>
    </row>
    <row r="105" spans="1:5" ht="12.75">
      <c r="A105" s="75"/>
      <c r="B105" s="86"/>
      <c r="C105" s="86"/>
      <c r="D105" s="75">
        <v>34</v>
      </c>
      <c r="E105" s="118" t="s">
        <v>153</v>
      </c>
    </row>
    <row r="106" spans="1:5" ht="12.75">
      <c r="A106" s="75"/>
      <c r="B106" s="24"/>
      <c r="C106" s="103"/>
      <c r="D106" s="75">
        <v>35</v>
      </c>
      <c r="E106" s="118" t="s">
        <v>154</v>
      </c>
    </row>
    <row r="107" spans="1:5" ht="12.75">
      <c r="A107" s="75"/>
      <c r="B107" s="24"/>
      <c r="C107" s="103"/>
      <c r="D107" s="75">
        <v>36</v>
      </c>
      <c r="E107" s="118" t="s">
        <v>155</v>
      </c>
    </row>
    <row r="108" spans="1:5" ht="12.75">
      <c r="A108" s="75"/>
      <c r="B108" s="24"/>
      <c r="C108" s="103"/>
      <c r="D108" s="75"/>
      <c r="E108" s="86"/>
    </row>
    <row r="109" spans="1:5" ht="12.75">
      <c r="A109" s="75"/>
      <c r="B109" s="24"/>
      <c r="C109" s="103"/>
      <c r="D109" s="75"/>
      <c r="E109" s="86"/>
    </row>
    <row r="110" spans="1:5" ht="12.75">
      <c r="A110" s="75"/>
      <c r="B110" s="24"/>
      <c r="C110" s="103"/>
      <c r="D110" s="75"/>
      <c r="E110" s="86"/>
    </row>
    <row r="111" spans="1:5" ht="12.75">
      <c r="A111" s="75"/>
      <c r="B111" s="24"/>
      <c r="C111" s="103"/>
      <c r="D111" s="58"/>
      <c r="E111" s="104"/>
    </row>
    <row r="112" spans="1:5" ht="12.75">
      <c r="A112" s="56"/>
      <c r="B112" s="57"/>
      <c r="C112" s="52"/>
      <c r="D112" s="56"/>
      <c r="E112" s="73"/>
    </row>
    <row r="113" spans="1:5" ht="12.75">
      <c r="A113" s="56"/>
      <c r="B113" s="57"/>
      <c r="C113" s="52"/>
      <c r="D113" s="56"/>
      <c r="E113" s="73"/>
    </row>
    <row r="114" spans="1:5" ht="12.75">
      <c r="A114" s="56"/>
      <c r="B114" s="57"/>
      <c r="C114" s="52"/>
      <c r="D114" s="56"/>
      <c r="E114" s="73"/>
    </row>
    <row r="115" spans="1:5" ht="12.75">
      <c r="A115" s="56"/>
      <c r="B115" s="57"/>
      <c r="C115" s="52"/>
      <c r="D115" s="56"/>
      <c r="E115" s="57"/>
    </row>
    <row r="116" spans="1:5" ht="12.75">
      <c r="A116" s="56"/>
      <c r="B116" s="57"/>
      <c r="C116" s="52"/>
      <c r="D116" s="56"/>
      <c r="E116" s="57"/>
    </row>
    <row r="117" spans="1:5" ht="12.75">
      <c r="A117" s="56"/>
      <c r="B117" s="57"/>
      <c r="C117" s="52"/>
      <c r="D117" s="56"/>
      <c r="E117" s="57"/>
    </row>
    <row r="118" spans="1:5" ht="12.75">
      <c r="A118" s="56"/>
      <c r="B118" s="57"/>
      <c r="C118" s="52"/>
      <c r="D118" s="56"/>
      <c r="E118" s="57"/>
    </row>
    <row r="119" spans="1:5" ht="12.75">
      <c r="A119" s="56"/>
      <c r="B119" s="57"/>
      <c r="C119" s="52"/>
      <c r="D119" s="56"/>
      <c r="E119" s="57"/>
    </row>
    <row r="120" spans="1:5" ht="12.75">
      <c r="A120" s="56"/>
      <c r="B120" s="59"/>
      <c r="C120" s="52"/>
      <c r="D120" s="56"/>
      <c r="E120" s="57"/>
    </row>
    <row r="121" spans="1:5" ht="12.75">
      <c r="A121" s="58"/>
      <c r="B121" s="59"/>
      <c r="C121" s="52"/>
      <c r="D121" s="56"/>
      <c r="E121" s="57"/>
    </row>
    <row r="122" spans="1:5" ht="12.75">
      <c r="A122" s="58"/>
      <c r="B122" s="59"/>
      <c r="C122" s="52"/>
      <c r="D122" s="56"/>
      <c r="E122" s="57"/>
    </row>
    <row r="123" spans="1:5" ht="12.75">
      <c r="A123" s="58"/>
      <c r="B123" s="59"/>
      <c r="C123" s="52"/>
      <c r="D123" s="56"/>
      <c r="E123" s="57"/>
    </row>
    <row r="124" spans="1:3" ht="12.75">
      <c r="A124" s="58"/>
      <c r="B124" s="59"/>
      <c r="C124" s="52"/>
    </row>
    <row r="125" spans="1:3" ht="12.75">
      <c r="A125" s="58"/>
      <c r="B125" s="59"/>
      <c r="C125" s="52"/>
    </row>
    <row r="126" spans="1:3" ht="12.75">
      <c r="A126" s="58"/>
      <c r="B126" s="59"/>
      <c r="C126" s="52"/>
    </row>
    <row r="127" spans="1:3" ht="12.75">
      <c r="A127" s="58"/>
      <c r="B127" s="59"/>
      <c r="C127" s="52"/>
    </row>
  </sheetData>
  <mergeCells count="1">
    <mergeCell ref="B1:E2"/>
  </mergeCells>
  <printOptions horizontalCentered="1" verticalCentered="1"/>
  <pageMargins left="0.1968503937007874" right="0.2755905511811024" top="0.35433070866141736" bottom="0.2362204724409449" header="0.2362204724409449" footer="0.1968503937007874"/>
  <pageSetup horizontalDpi="600" verticalDpi="600" orientation="portrait" scale="94" r:id="rId3"/>
  <rowBreaks count="1" manualBreakCount="1">
    <brk id="64" max="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2005-11-14T17:30:15Z</cp:lastPrinted>
  <dcterms:created xsi:type="dcterms:W3CDTF">2004-01-28T09:20:32Z</dcterms:created>
  <dcterms:modified xsi:type="dcterms:W3CDTF">2006-12-14T13:25:32Z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